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0df5293885c30c/Documentos/Monthly Reports/November 2025/"/>
    </mc:Choice>
  </mc:AlternateContent>
  <xr:revisionPtr revIDLastSave="0" documentId="14_{59EB7A60-5597-4EE0-B89F-2DCB926D770F}" xr6:coauthVersionLast="47" xr6:coauthVersionMax="47" xr10:uidLastSave="{00000000-0000-0000-0000-000000000000}"/>
  <bookViews>
    <workbookView xWindow="-108" yWindow="-108" windowWidth="23256" windowHeight="13896" tabRatio="659" activeTab="1" xr2:uid="{DFB21BEE-EC61-4B3F-B433-0F3B1EFB9C0C}"/>
  </bookViews>
  <sheets>
    <sheet name="2025 Forecast" sheetId="32" r:id="rId1"/>
    <sheet name="2026 Budget" sheetId="31" r:id="rId2"/>
    <sheet name="2023 Forecast" sheetId="2" state="hidden" r:id="rId3"/>
    <sheet name="2023 Budget" sheetId="30" state="hidden" r:id="rId4"/>
    <sheet name="2022 Budget" sheetId="28" state="hidden" r:id="rId5"/>
    <sheet name="2024 Budget" sheetId="19" state="hidden" r:id="rId6"/>
    <sheet name="2025 Budget" sheetId="35" state="hidden" r:id="rId7"/>
    <sheet name="2025 YTD and 2024 Actuals" sheetId="34" r:id="rId8"/>
    <sheet name="Jan - Sep 2024 Actuals" sheetId="24" state="hidden" r:id="rId9"/>
    <sheet name="Pool Attendents" sheetId="15" r:id="rId10"/>
    <sheet name="Security Patrol" sheetId="29" r:id="rId11"/>
    <sheet name="Bank Loan" sheetId="33" r:id="rId12"/>
  </sheets>
  <externalReferences>
    <externalReference r:id="rId13"/>
    <externalReference r:id="rId14"/>
    <externalReference r:id="rId15"/>
  </externalReferences>
  <definedNames>
    <definedName name="_xlnm._FilterDatabase" localSheetId="10" hidden="1">'Security Patrol'!$B$7:$B$62</definedName>
    <definedName name="contacts" localSheetId="9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'2022 Budget'!$A$1:$X$146</definedName>
    <definedName name="_xlnm.Print_Area" localSheetId="3">'2023 Budget'!$A$1:$X$144</definedName>
    <definedName name="_xlnm.Print_Area" localSheetId="2">'2023 Forecast'!$A$1:$R$132</definedName>
    <definedName name="_xlnm.Print_Area" localSheetId="5">'2024 Budget'!$A$1:$X$154</definedName>
    <definedName name="_xlnm.Print_Area" localSheetId="6">'2025 Budget'!$A$1:$X$154</definedName>
    <definedName name="_xlnm.Print_Area" localSheetId="0">'2025 Forecast'!$A$1:$R$149</definedName>
    <definedName name="_xlnm.Print_Area" localSheetId="1">'2026 Budget'!$A$1:$X$155</definedName>
    <definedName name="_xlnm.Print_Area" localSheetId="9">'Pool Attendents'!$A$1:$Q$31</definedName>
    <definedName name="_xlnm.Print_Area" localSheetId="10">'Security Patrol'!$A$1:$K$62</definedName>
    <definedName name="_xlnm.Print_Titles" localSheetId="4">'2022 Budget'!$A:$G,'2022 Budget'!$7:$7</definedName>
    <definedName name="_xlnm.Print_Titles" localSheetId="3">'2023 Budget'!$A:$G,'2023 Budget'!$7:$7</definedName>
    <definedName name="_xlnm.Print_Titles" localSheetId="2">'2023 Forecast'!$A:$G,'2023 Forecast'!$7:$7</definedName>
    <definedName name="_xlnm.Print_Titles" localSheetId="5">'2024 Budget'!$A:$G,'2024 Budget'!$7:$7</definedName>
    <definedName name="_xlnm.Print_Titles" localSheetId="6">'2025 Budget'!$A:$G,'2025 Budget'!$7:$7</definedName>
    <definedName name="_xlnm.Print_Titles" localSheetId="0">'2025 Forecast'!$A:$G,'2025 Forecast'!$7:$7</definedName>
    <definedName name="_xlnm.Print_Titles" localSheetId="1">'2026 Budget'!$A:$G,'2026 Budget'!$7:$7</definedName>
    <definedName name="QB_COLUMN_2921" localSheetId="4" hidden="1">'2022 Budget'!#REF!</definedName>
    <definedName name="QB_COLUMN_2921" localSheetId="3" hidden="1">'2023 Budget'!#REF!</definedName>
    <definedName name="QB_COLUMN_2921" localSheetId="2" hidden="1">'2023 Forecast'!#REF!</definedName>
    <definedName name="QB_COLUMN_2921" localSheetId="5" hidden="1">'2024 Budget'!#REF!</definedName>
    <definedName name="QB_COLUMN_2921" localSheetId="6" hidden="1">'2025 Budget'!#REF!</definedName>
    <definedName name="QB_COLUMN_2921" localSheetId="0" hidden="1">'2025 Forecast'!#REF!</definedName>
    <definedName name="QB_COLUMN_2921" localSheetId="1" hidden="1">'2026 Budget'!#REF!</definedName>
    <definedName name="QB_COLUMN_2922" localSheetId="4" hidden="1">'2022 Budget'!#REF!</definedName>
    <definedName name="QB_COLUMN_2922" localSheetId="3" hidden="1">'2023 Budget'!#REF!</definedName>
    <definedName name="QB_COLUMN_2922" localSheetId="2" hidden="1">'2023 Forecast'!#REF!</definedName>
    <definedName name="QB_COLUMN_2922" localSheetId="5" hidden="1">'2024 Budget'!#REF!</definedName>
    <definedName name="QB_COLUMN_2922" localSheetId="6" hidden="1">'2025 Budget'!#REF!</definedName>
    <definedName name="QB_COLUMN_2922" localSheetId="0" hidden="1">'2025 Forecast'!#REF!</definedName>
    <definedName name="QB_COLUMN_2922" localSheetId="1" hidden="1">'2026 Budget'!#REF!</definedName>
    <definedName name="QB_COLUMN_2923" localSheetId="4" hidden="1">'2022 Budget'!#REF!</definedName>
    <definedName name="QB_COLUMN_2923" localSheetId="3" hidden="1">'2023 Budget'!#REF!</definedName>
    <definedName name="QB_COLUMN_2923" localSheetId="2" hidden="1">'2023 Forecast'!#REF!</definedName>
    <definedName name="QB_COLUMN_2923" localSheetId="5" hidden="1">'2024 Budget'!#REF!</definedName>
    <definedName name="QB_COLUMN_2923" localSheetId="6" hidden="1">'2025 Budget'!#REF!</definedName>
    <definedName name="QB_COLUMN_2923" localSheetId="0" hidden="1">'2025 Forecast'!#REF!</definedName>
    <definedName name="QB_COLUMN_2923" localSheetId="1" hidden="1">'2026 Budget'!#REF!</definedName>
    <definedName name="QB_COLUMN_2924" localSheetId="4" hidden="1">'2022 Budget'!#REF!</definedName>
    <definedName name="QB_COLUMN_2924" localSheetId="3" hidden="1">'2023 Budget'!#REF!</definedName>
    <definedName name="QB_COLUMN_2924" localSheetId="2" hidden="1">'2023 Forecast'!#REF!</definedName>
    <definedName name="QB_COLUMN_2924" localSheetId="5" hidden="1">'2024 Budget'!#REF!</definedName>
    <definedName name="QB_COLUMN_2924" localSheetId="6" hidden="1">'2025 Budget'!#REF!</definedName>
    <definedName name="QB_COLUMN_2924" localSheetId="0" hidden="1">'2025 Forecast'!#REF!</definedName>
    <definedName name="QB_COLUMN_2924" localSheetId="1" hidden="1">'2026 Budget'!#REF!</definedName>
    <definedName name="QB_COLUMN_2925" localSheetId="4" hidden="1">'2022 Budget'!#REF!</definedName>
    <definedName name="QB_COLUMN_2925" localSheetId="3" hidden="1">'2023 Budget'!#REF!</definedName>
    <definedName name="QB_COLUMN_2925" localSheetId="2" hidden="1">'2023 Forecast'!#REF!</definedName>
    <definedName name="QB_COLUMN_2925" localSheetId="5" hidden="1">'2024 Budget'!#REF!</definedName>
    <definedName name="QB_COLUMN_2925" localSheetId="6" hidden="1">'2025 Budget'!#REF!</definedName>
    <definedName name="QB_COLUMN_2925" localSheetId="0" hidden="1">'2025 Forecast'!#REF!</definedName>
    <definedName name="QB_COLUMN_2925" localSheetId="1" hidden="1">'2026 Budget'!#REF!</definedName>
    <definedName name="QB_COLUMN_2926" localSheetId="4" hidden="1">'2022 Budget'!#REF!</definedName>
    <definedName name="QB_COLUMN_2926" localSheetId="3" hidden="1">'2023 Budget'!#REF!</definedName>
    <definedName name="QB_COLUMN_2926" localSheetId="2" hidden="1">'2023 Forecast'!#REF!</definedName>
    <definedName name="QB_COLUMN_2926" localSheetId="5" hidden="1">'2024 Budget'!#REF!</definedName>
    <definedName name="QB_COLUMN_2926" localSheetId="6" hidden="1">'2025 Budget'!#REF!</definedName>
    <definedName name="QB_COLUMN_2926" localSheetId="0" hidden="1">'2025 Forecast'!#REF!</definedName>
    <definedName name="QB_COLUMN_2926" localSheetId="1" hidden="1">'2026 Budget'!#REF!</definedName>
    <definedName name="QB_COLUMN_2927" localSheetId="4" hidden="1">'2022 Budget'!#REF!</definedName>
    <definedName name="QB_COLUMN_2927" localSheetId="3" hidden="1">'2023 Budget'!#REF!</definedName>
    <definedName name="QB_COLUMN_2927" localSheetId="2" hidden="1">'2023 Forecast'!#REF!</definedName>
    <definedName name="QB_COLUMN_2927" localSheetId="5" hidden="1">'2024 Budget'!#REF!</definedName>
    <definedName name="QB_COLUMN_2927" localSheetId="6" hidden="1">'2025 Budget'!#REF!</definedName>
    <definedName name="QB_COLUMN_2927" localSheetId="0" hidden="1">'2025 Forecast'!#REF!</definedName>
    <definedName name="QB_COLUMN_2927" localSheetId="1" hidden="1">'2026 Budget'!#REF!</definedName>
    <definedName name="QB_COLUMN_2928" localSheetId="4" hidden="1">'2022 Budget'!$I$7</definedName>
    <definedName name="QB_COLUMN_2928" localSheetId="3" hidden="1">'2023 Budget'!$I$7</definedName>
    <definedName name="QB_COLUMN_2928" localSheetId="2" hidden="1">'2023 Forecast'!$I$7</definedName>
    <definedName name="QB_COLUMN_2928" localSheetId="5" hidden="1">'2024 Budget'!$I$7</definedName>
    <definedName name="QB_COLUMN_2928" localSheetId="6" hidden="1">'2025 Budget'!$I$7</definedName>
    <definedName name="QB_COLUMN_2928" localSheetId="0" hidden="1">'2025 Forecast'!$I$7</definedName>
    <definedName name="QB_COLUMN_2928" localSheetId="1" hidden="1">'2026 Budget'!$I$7</definedName>
    <definedName name="QB_COLUMN_2930" localSheetId="4" hidden="1">'2022 Budget'!$U$7</definedName>
    <definedName name="QB_COLUMN_2930" localSheetId="3" hidden="1">'2023 Budget'!$U$7</definedName>
    <definedName name="QB_COLUMN_2930" localSheetId="2" hidden="1">'2023 Forecast'!$O$7</definedName>
    <definedName name="QB_COLUMN_2930" localSheetId="5" hidden="1">'2024 Budget'!$U$7</definedName>
    <definedName name="QB_COLUMN_2930" localSheetId="6" hidden="1">'2025 Budget'!$U$7</definedName>
    <definedName name="QB_COLUMN_2930" localSheetId="0" hidden="1">'2025 Forecast'!$O$7</definedName>
    <definedName name="QB_COLUMN_2930" localSheetId="1" hidden="1">'2026 Budget'!$U$7</definedName>
    <definedName name="QB_DATA_0" localSheetId="4" hidden="1">'2022 Budget'!$12:$12,'2022 Budget'!$13:$13,'2022 Budget'!$18:$18,'2022 Budget'!$23:$23,'2022 Budget'!$24:$24,'2022 Budget'!$25:$25,'2022 Budget'!$51:$51,'2022 Budget'!#REF!,'2022 Budget'!#REF!,'2022 Budget'!#REF!,'2022 Budget'!#REF!,'2022 Budget'!#REF!,'2022 Budget'!#REF!,'2022 Budget'!#REF!,'2022 Budget'!#REF!,'2022 Budget'!#REF!</definedName>
    <definedName name="QB_DATA_0" localSheetId="3" hidden="1">'2023 Budget'!$12:$12,'2023 Budget'!$13:$13,'2023 Budget'!$18:$18,'2023 Budget'!$22:$22,'2023 Budget'!$23:$23,'2023 Budget'!$24:$24,'2023 Budget'!$50:$50,'2023 Budget'!#REF!,'2023 Budget'!#REF!,'2023 Budget'!#REF!,'2023 Budget'!#REF!,'2023 Budget'!#REF!,'2023 Budget'!#REF!,'2023 Budget'!#REF!,'2023 Budget'!#REF!,'2023 Budget'!#REF!</definedName>
    <definedName name="QB_DATA_0" localSheetId="2" hidden="1">'2023 Forecast'!$12:$12,'2023 Forecast'!#REF!,'2023 Forecast'!$17:$17,'2023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DATA_0" localSheetId="5" hidden="1">'2024 Budget'!$12:$12,'2024 Budget'!$13:$13,'2024 Budget'!$18:$18,'2024 Budget'!$22:$22,'2024 Budget'!$23:$23,'2024 Budget'!$24:$24,'2024 Budget'!$49:$49,'2024 Budget'!#REF!,'2024 Budget'!#REF!,'2024 Budget'!#REF!,'2024 Budget'!#REF!,'2024 Budget'!#REF!,'2024 Budget'!#REF!,'2024 Budget'!#REF!,'2024 Budget'!#REF!,'2024 Budget'!#REF!</definedName>
    <definedName name="QB_DATA_0" localSheetId="6" hidden="1">'2025 Budget'!$12:$12,'2025 Budget'!$13:$13,'2025 Budget'!$18:$18,'2025 Budget'!$22:$22,'2025 Budget'!$23:$23,'2025 Budget'!$24:$24,'2025 Budget'!$49:$49,'2025 Budget'!#REF!,'2025 Budget'!#REF!,'2025 Budget'!#REF!,'2025 Budget'!#REF!,'2025 Budget'!#REF!,'2025 Budget'!#REF!,'2025 Budget'!#REF!,'2025 Budget'!#REF!,'2025 Budget'!#REF!</definedName>
    <definedName name="QB_DATA_0" localSheetId="0" hidden="1">'2025 Forecast'!$12:$12,'2025 Forecast'!#REF!,'2025 Forecast'!$17:$17,'2025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DATA_0" localSheetId="1" hidden="1">'2026 Budget'!$12:$12,'2026 Budget'!$13:$13,'2026 Budget'!$18:$18,'2026 Budget'!$22:$22,'2026 Budget'!$23:$23,'2026 Budget'!$24:$24,'2026 Budget'!$50:$50,'2026 Budget'!#REF!,'2026 Budget'!#REF!,'2026 Budget'!#REF!,'2026 Budget'!#REF!,'2026 Budget'!#REF!,'2026 Budget'!#REF!,'2026 Budget'!#REF!,'2026 Budget'!#REF!,'2026 Budget'!#REF!</definedName>
    <definedName name="QB_DATA_1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DATA_1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DATA_1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DATA_1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DATA_1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DATA_1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DATA_1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DATA_2" localSheetId="4" hidden="1">'2022 Budget'!#REF!,'2022 Budget'!#REF!,'2022 Budget'!#REF!,'2022 Budget'!#REF!,'2022 Budget'!#REF!,'2022 Budget'!#REF!</definedName>
    <definedName name="QB_DATA_2" localSheetId="3" hidden="1">'2023 Budget'!#REF!,'2023 Budget'!#REF!,'2023 Budget'!#REF!,'2023 Budget'!#REF!,'2023 Budget'!#REF!,'2023 Budget'!#REF!</definedName>
    <definedName name="QB_DATA_2" localSheetId="2" hidden="1">'2023 Forecast'!#REF!,'2023 Forecast'!#REF!,'2023 Forecast'!#REF!,'2023 Forecast'!#REF!,'2023 Forecast'!#REF!,'2023 Forecast'!#REF!</definedName>
    <definedName name="QB_DATA_2" localSheetId="5" hidden="1">'2024 Budget'!#REF!,'2024 Budget'!#REF!,'2024 Budget'!#REF!,'2024 Budget'!#REF!,'2024 Budget'!#REF!,'2024 Budget'!#REF!</definedName>
    <definedName name="QB_DATA_2" localSheetId="6" hidden="1">'2025 Budget'!#REF!,'2025 Budget'!#REF!,'2025 Budget'!#REF!,'2025 Budget'!#REF!,'2025 Budget'!#REF!,'2025 Budget'!#REF!</definedName>
    <definedName name="QB_DATA_2" localSheetId="0" hidden="1">'2025 Forecast'!#REF!,'2025 Forecast'!#REF!,'2025 Forecast'!#REF!,'2025 Forecast'!#REF!,'2025 Forecast'!#REF!,'2025 Forecast'!#REF!</definedName>
    <definedName name="QB_DATA_2" localSheetId="1" hidden="1">'2026 Budget'!#REF!,'2026 Budget'!#REF!,'2026 Budget'!#REF!,'2026 Budget'!#REF!,'2026 Budget'!#REF!,'2026 Budget'!#REF!</definedName>
    <definedName name="QB_FORMULA_0" localSheetId="4" hidden="1">'2022 Budget'!$U$12,'2022 Budget'!$U$13,'2022 Budget'!$U$18,'2022 Budget'!$U$23,'2022 Budget'!$U$24,'2022 Budget'!$U$25,'2022 Budget'!#REF!,'2022 Budget'!#REF!,'2022 Budget'!#REF!,'2022 Budget'!#REF!,'2022 Budget'!#REF!,'2022 Budget'!#REF!,'2022 Budget'!#REF!,'2022 Budget'!$I$27,'2022 Budget'!$U$27,'2022 Budget'!#REF!</definedName>
    <definedName name="QB_FORMULA_0" localSheetId="3" hidden="1">'2023 Budget'!$U$12,'2023 Budget'!$U$13,'2023 Budget'!$U$18,'2023 Budget'!$U$22,'2023 Budget'!$U$23,'2023 Budget'!$U$24,'2023 Budget'!#REF!,'2023 Budget'!#REF!,'2023 Budget'!#REF!,'2023 Budget'!#REF!,'2023 Budget'!#REF!,'2023 Budget'!#REF!,'2023 Budget'!#REF!,'2023 Budget'!$I$26,'2023 Budget'!$U$26,'2023 Budget'!#REF!</definedName>
    <definedName name="QB_FORMULA_0" localSheetId="2" hidden="1">'2023 Forecast'!$O$12,'2023 Forecast'!#REF!,'2023 Forecast'!$O$17,'2023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0" localSheetId="5" hidden="1">'2024 Budget'!$U$12,'2024 Budget'!$U$13,'2024 Budget'!$U$18,'2024 Budget'!$U$22,'2024 Budget'!$U$23,'2024 Budget'!$U$24,'2024 Budget'!#REF!,'2024 Budget'!#REF!,'2024 Budget'!#REF!,'2024 Budget'!#REF!,'2024 Budget'!#REF!,'2024 Budget'!#REF!,'2024 Budget'!#REF!,'2024 Budget'!$I$26,'2024 Budget'!$U$26,'2024 Budget'!#REF!</definedName>
    <definedName name="QB_FORMULA_0" localSheetId="6" hidden="1">'2025 Budget'!$U$12,'2025 Budget'!$U$13,'2025 Budget'!$U$18,'2025 Budget'!$U$22,'2025 Budget'!$U$23,'2025 Budget'!$U$24,'2025 Budget'!#REF!,'2025 Budget'!#REF!,'2025 Budget'!#REF!,'2025 Budget'!#REF!,'2025 Budget'!#REF!,'2025 Budget'!#REF!,'2025 Budget'!#REF!,'2025 Budget'!$I$26,'2025 Budget'!$U$26,'2025 Budget'!#REF!</definedName>
    <definedName name="QB_FORMULA_0" localSheetId="0" hidden="1">'2025 Forecast'!$O$12,'2025 Forecast'!#REF!,'2025 Forecast'!$O$17,'2025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0" localSheetId="1" hidden="1">'2026 Budget'!$U$12,'2026 Budget'!$U$13,'2026 Budget'!$U$18,'2026 Budget'!$U$22,'2026 Budget'!$U$23,'2026 Budget'!$U$24,'2026 Budget'!#REF!,'2026 Budget'!#REF!,'2026 Budget'!#REF!,'2026 Budget'!#REF!,'2026 Budget'!#REF!,'2026 Budget'!#REF!,'2026 Budget'!#REF!,'2026 Budget'!$I$26,'2026 Budget'!$U$26,'2026 Budget'!#REF!</definedName>
    <definedName name="QB_FORMULA_1" localSheetId="4" hidden="1">'2022 Budget'!#REF!,'2022 Budget'!#REF!,'2022 Budget'!#REF!,'2022 Budget'!#REF!,'2022 Budget'!#REF!,'2022 Budget'!#REF!,'2022 Budget'!$I$30,'2022 Budget'!$U$30,'2022 Budget'!$U$51,'2022 Budget'!#REF!,'2022 Budget'!#REF!,'2022 Budget'!#REF!,'2022 Budget'!#REF!,'2022 Budget'!#REF!,'2022 Budget'!#REF!,'2022 Budget'!#REF!</definedName>
    <definedName name="QB_FORMULA_1" localSheetId="3" hidden="1">'2023 Budget'!#REF!,'2023 Budget'!#REF!,'2023 Budget'!#REF!,'2023 Budget'!#REF!,'2023 Budget'!#REF!,'2023 Budget'!#REF!,'2023 Budget'!$I$28,'2023 Budget'!$U$28,'2023 Budget'!$U$50,'2023 Budget'!#REF!,'2023 Budget'!#REF!,'2023 Budget'!#REF!,'2023 Budget'!#REF!,'2023 Budget'!#REF!,'2023 Budget'!#REF!,'2023 Budget'!#REF!</definedName>
    <definedName name="QB_FORMULA_1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1" localSheetId="5" hidden="1">'2024 Budget'!#REF!,'2024 Budget'!#REF!,'2024 Budget'!#REF!,'2024 Budget'!#REF!,'2024 Budget'!#REF!,'2024 Budget'!#REF!,'2024 Budget'!$I$28,'2024 Budget'!$U$28,'2024 Budget'!$U$49,'2024 Budget'!#REF!,'2024 Budget'!#REF!,'2024 Budget'!#REF!,'2024 Budget'!#REF!,'2024 Budget'!#REF!,'2024 Budget'!#REF!,'2024 Budget'!#REF!</definedName>
    <definedName name="QB_FORMULA_1" localSheetId="6" hidden="1">'2025 Budget'!#REF!,'2025 Budget'!#REF!,'2025 Budget'!#REF!,'2025 Budget'!#REF!,'2025 Budget'!#REF!,'2025 Budget'!#REF!,'2025 Budget'!$I$28,'2025 Budget'!$U$28,'2025 Budget'!$U$49,'2025 Budget'!#REF!,'2025 Budget'!#REF!,'2025 Budget'!#REF!,'2025 Budget'!#REF!,'2025 Budget'!#REF!,'2025 Budget'!#REF!,'2025 Budget'!#REF!</definedName>
    <definedName name="QB_FORMULA_1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1" localSheetId="1" hidden="1">'2026 Budget'!#REF!,'2026 Budget'!#REF!,'2026 Budget'!#REF!,'2026 Budget'!#REF!,'2026 Budget'!#REF!,'2026 Budget'!#REF!,'2026 Budget'!$I$28,'2026 Budget'!$U$28,'2026 Budget'!$U$50,'2026 Budget'!#REF!,'2026 Budget'!#REF!,'2026 Budget'!#REF!,'2026 Budget'!#REF!,'2026 Budget'!#REF!,'2026 Budget'!#REF!,'2026 Budget'!#REF!</definedName>
    <definedName name="QB_FORMULA_2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2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2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2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2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2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2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3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3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3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3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3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3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3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4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4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4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4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4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4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4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5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5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5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5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5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5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5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6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6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6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6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6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6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6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FORMULA_7" localSheetId="4" hidden="1">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Budget'!#REF!,'2022 Budget'!#REF!</definedName>
    <definedName name="QB_FORMULA_7" localSheetId="3" hidden="1">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Budget'!#REF!,'2023 Budget'!#REF!</definedName>
    <definedName name="QB_FORMULA_7" localSheetId="2" hidden="1">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Forecast'!#REF!,'2023 Forecast'!#REF!</definedName>
    <definedName name="QB_FORMULA_7" localSheetId="5" hidden="1">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Budget'!#REF!,'2024 Budget'!#REF!</definedName>
    <definedName name="QB_FORMULA_7" localSheetId="6" hidden="1">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Budget'!#REF!,'2025 Budget'!#REF!</definedName>
    <definedName name="QB_FORMULA_7" localSheetId="0" hidden="1">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Forecast'!#REF!,'2025 Forecast'!#REF!</definedName>
    <definedName name="QB_FORMULA_7" localSheetId="1" hidden="1">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Budget'!#REF!,'2026 Budget'!#REF!</definedName>
    <definedName name="QB_ROW_100250" localSheetId="4" hidden="1">'2022 Budget'!#REF!</definedName>
    <definedName name="QB_ROW_100250" localSheetId="3" hidden="1">'2023 Budget'!#REF!</definedName>
    <definedName name="QB_ROW_100250" localSheetId="2" hidden="1">'2023 Forecast'!#REF!</definedName>
    <definedName name="QB_ROW_100250" localSheetId="5" hidden="1">'2024 Budget'!#REF!</definedName>
    <definedName name="QB_ROW_100250" localSheetId="6" hidden="1">'2025 Budget'!#REF!</definedName>
    <definedName name="QB_ROW_100250" localSheetId="0" hidden="1">'2025 Forecast'!#REF!</definedName>
    <definedName name="QB_ROW_100250" localSheetId="1" hidden="1">'2026 Budget'!#REF!</definedName>
    <definedName name="QB_ROW_102040" localSheetId="4" hidden="1">'2022 Budget'!#REF!</definedName>
    <definedName name="QB_ROW_102040" localSheetId="3" hidden="1">'2023 Budget'!#REF!</definedName>
    <definedName name="QB_ROW_102040" localSheetId="2" hidden="1">'2023 Forecast'!#REF!</definedName>
    <definedName name="QB_ROW_102040" localSheetId="5" hidden="1">'2024 Budget'!#REF!</definedName>
    <definedName name="QB_ROW_102040" localSheetId="6" hidden="1">'2025 Budget'!#REF!</definedName>
    <definedName name="QB_ROW_102040" localSheetId="0" hidden="1">'2025 Forecast'!#REF!</definedName>
    <definedName name="QB_ROW_102040" localSheetId="1" hidden="1">'2026 Budget'!#REF!</definedName>
    <definedName name="QB_ROW_102340" localSheetId="4" hidden="1">'2022 Budget'!#REF!</definedName>
    <definedName name="QB_ROW_102340" localSheetId="3" hidden="1">'2023 Budget'!#REF!</definedName>
    <definedName name="QB_ROW_102340" localSheetId="2" hidden="1">'2023 Forecast'!#REF!</definedName>
    <definedName name="QB_ROW_102340" localSheetId="5" hidden="1">'2024 Budget'!#REF!</definedName>
    <definedName name="QB_ROW_102340" localSheetId="6" hidden="1">'2025 Budget'!#REF!</definedName>
    <definedName name="QB_ROW_102340" localSheetId="0" hidden="1">'2025 Forecast'!#REF!</definedName>
    <definedName name="QB_ROW_102340" localSheetId="1" hidden="1">'2026 Budget'!#REF!</definedName>
    <definedName name="QB_ROW_104250" localSheetId="4" hidden="1">'2022 Budget'!#REF!</definedName>
    <definedName name="QB_ROW_104250" localSheetId="3" hidden="1">'2023 Budget'!#REF!</definedName>
    <definedName name="QB_ROW_104250" localSheetId="2" hidden="1">'2023 Forecast'!#REF!</definedName>
    <definedName name="QB_ROW_104250" localSheetId="5" hidden="1">'2024 Budget'!#REF!</definedName>
    <definedName name="QB_ROW_104250" localSheetId="6" hidden="1">'2025 Budget'!#REF!</definedName>
    <definedName name="QB_ROW_104250" localSheetId="0" hidden="1">'2025 Forecast'!#REF!</definedName>
    <definedName name="QB_ROW_104250" localSheetId="1" hidden="1">'2026 Budget'!#REF!</definedName>
    <definedName name="QB_ROW_111250" localSheetId="4" hidden="1">'2022 Budget'!#REF!</definedName>
    <definedName name="QB_ROW_111250" localSheetId="3" hidden="1">'2023 Budget'!#REF!</definedName>
    <definedName name="QB_ROW_111250" localSheetId="2" hidden="1">'2023 Forecast'!#REF!</definedName>
    <definedName name="QB_ROW_111250" localSheetId="5" hidden="1">'2024 Budget'!#REF!</definedName>
    <definedName name="QB_ROW_111250" localSheetId="6" hidden="1">'2025 Budget'!#REF!</definedName>
    <definedName name="QB_ROW_111250" localSheetId="0" hidden="1">'2025 Forecast'!#REF!</definedName>
    <definedName name="QB_ROW_111250" localSheetId="1" hidden="1">'2026 Budget'!#REF!</definedName>
    <definedName name="QB_ROW_119240" localSheetId="4" hidden="1">'2022 Budget'!$D$24</definedName>
    <definedName name="QB_ROW_119240" localSheetId="3" hidden="1">'2023 Budget'!$D$23</definedName>
    <definedName name="QB_ROW_119240" localSheetId="2" hidden="1">'2023 Forecast'!#REF!</definedName>
    <definedName name="QB_ROW_119240" localSheetId="5" hidden="1">'2024 Budget'!$D$23</definedName>
    <definedName name="QB_ROW_119240" localSheetId="6" hidden="1">'2025 Budget'!$D$23</definedName>
    <definedName name="QB_ROW_119240" localSheetId="0" hidden="1">'2025 Forecast'!#REF!</definedName>
    <definedName name="QB_ROW_119240" localSheetId="1" hidden="1">'2026 Budget'!$D$23</definedName>
    <definedName name="QB_ROW_18301" localSheetId="4" hidden="1">'2022 Budget'!#REF!</definedName>
    <definedName name="QB_ROW_18301" localSheetId="3" hidden="1">'2023 Budget'!#REF!</definedName>
    <definedName name="QB_ROW_18301" localSheetId="2" hidden="1">'2023 Forecast'!#REF!</definedName>
    <definedName name="QB_ROW_18301" localSheetId="5" hidden="1">'2024 Budget'!#REF!</definedName>
    <definedName name="QB_ROW_18301" localSheetId="6" hidden="1">'2025 Budget'!#REF!</definedName>
    <definedName name="QB_ROW_18301" localSheetId="0" hidden="1">'2025 Forecast'!#REF!</definedName>
    <definedName name="QB_ROW_18301" localSheetId="1" hidden="1">'2026 Budget'!#REF!</definedName>
    <definedName name="QB_ROW_19011" localSheetId="4" hidden="1">'2022 Budget'!$B$8</definedName>
    <definedName name="QB_ROW_19011" localSheetId="3" hidden="1">'2023 Budget'!$B$8</definedName>
    <definedName name="QB_ROW_19011" localSheetId="2" hidden="1">'2023 Forecast'!$B$8</definedName>
    <definedName name="QB_ROW_19011" localSheetId="5" hidden="1">'2024 Budget'!$B$8</definedName>
    <definedName name="QB_ROW_19011" localSheetId="6" hidden="1">'2025 Budget'!$B$8</definedName>
    <definedName name="QB_ROW_19011" localSheetId="0" hidden="1">'2025 Forecast'!$B$8</definedName>
    <definedName name="QB_ROW_19011" localSheetId="1" hidden="1">'2026 Budget'!$B$8</definedName>
    <definedName name="QB_ROW_19311" localSheetId="4" hidden="1">'2022 Budget'!#REF!</definedName>
    <definedName name="QB_ROW_19311" localSheetId="3" hidden="1">'2023 Budget'!#REF!</definedName>
    <definedName name="QB_ROW_19311" localSheetId="2" hidden="1">'2023 Forecast'!#REF!</definedName>
    <definedName name="QB_ROW_19311" localSheetId="5" hidden="1">'2024 Budget'!#REF!</definedName>
    <definedName name="QB_ROW_19311" localSheetId="6" hidden="1">'2025 Budget'!#REF!</definedName>
    <definedName name="QB_ROW_19311" localSheetId="0" hidden="1">'2025 Forecast'!#REF!</definedName>
    <definedName name="QB_ROW_19311" localSheetId="1" hidden="1">'2026 Budget'!#REF!</definedName>
    <definedName name="QB_ROW_20031" localSheetId="4" hidden="1">'2022 Budget'!$C$9</definedName>
    <definedName name="QB_ROW_20031" localSheetId="3" hidden="1">'2023 Budget'!$C$9</definedName>
    <definedName name="QB_ROW_20031" localSheetId="2" hidden="1">'2023 Forecast'!$C$9</definedName>
    <definedName name="QB_ROW_20031" localSheetId="5" hidden="1">'2024 Budget'!$C$9</definedName>
    <definedName name="QB_ROW_20031" localSheetId="6" hidden="1">'2025 Budget'!$C$9</definedName>
    <definedName name="QB_ROW_20031" localSheetId="0" hidden="1">'2025 Forecast'!$C$9</definedName>
    <definedName name="QB_ROW_20031" localSheetId="1" hidden="1">'2026 Budget'!$C$9</definedName>
    <definedName name="QB_ROW_20331" localSheetId="4" hidden="1">'2022 Budget'!$C$27</definedName>
    <definedName name="QB_ROW_20331" localSheetId="3" hidden="1">'2023 Budget'!$C$26</definedName>
    <definedName name="QB_ROW_20331" localSheetId="2" hidden="1">'2023 Forecast'!#REF!</definedName>
    <definedName name="QB_ROW_20331" localSheetId="5" hidden="1">'2024 Budget'!$C$26</definedName>
    <definedName name="QB_ROW_20331" localSheetId="6" hidden="1">'2025 Budget'!$C$26</definedName>
    <definedName name="QB_ROW_20331" localSheetId="0" hidden="1">'2025 Forecast'!#REF!</definedName>
    <definedName name="QB_ROW_20331" localSheetId="1" hidden="1">'2026 Budget'!$C$26</definedName>
    <definedName name="QB_ROW_21031" localSheetId="4" hidden="1">'2022 Budget'!$C$31</definedName>
    <definedName name="QB_ROW_21031" localSheetId="3" hidden="1">'2023 Budget'!$C$29</definedName>
    <definedName name="QB_ROW_21031" localSheetId="2" hidden="1">'2023 Forecast'!$C$24</definedName>
    <definedName name="QB_ROW_21031" localSheetId="5" hidden="1">'2024 Budget'!$C$29</definedName>
    <definedName name="QB_ROW_21031" localSheetId="6" hidden="1">'2025 Budget'!$C$29</definedName>
    <definedName name="QB_ROW_21031" localSheetId="0" hidden="1">'2025 Forecast'!$C$24</definedName>
    <definedName name="QB_ROW_21031" localSheetId="1" hidden="1">'2026 Budget'!$C$29</definedName>
    <definedName name="QB_ROW_21331" localSheetId="4" hidden="1">'2022 Budget'!#REF!</definedName>
    <definedName name="QB_ROW_21331" localSheetId="3" hidden="1">'2023 Budget'!#REF!</definedName>
    <definedName name="QB_ROW_21331" localSheetId="2" hidden="1">'2023 Forecast'!#REF!</definedName>
    <definedName name="QB_ROW_21331" localSheetId="5" hidden="1">'2024 Budget'!#REF!</definedName>
    <definedName name="QB_ROW_21331" localSheetId="6" hidden="1">'2025 Budget'!#REF!</definedName>
    <definedName name="QB_ROW_21331" localSheetId="0" hidden="1">'2025 Forecast'!#REF!</definedName>
    <definedName name="QB_ROW_21331" localSheetId="1" hidden="1">'2026 Budget'!#REF!</definedName>
    <definedName name="QB_ROW_26240" localSheetId="4" hidden="1">'2022 Budget'!$E$12</definedName>
    <definedName name="QB_ROW_26240" localSheetId="3" hidden="1">'2023 Budget'!$E$12</definedName>
    <definedName name="QB_ROW_26240" localSheetId="2" hidden="1">'2023 Forecast'!$E$12</definedName>
    <definedName name="QB_ROW_26240" localSheetId="5" hidden="1">'2024 Budget'!$E$12</definedName>
    <definedName name="QB_ROW_26240" localSheetId="6" hidden="1">'2025 Budget'!$E$12</definedName>
    <definedName name="QB_ROW_26240" localSheetId="0" hidden="1">'2025 Forecast'!$E$12</definedName>
    <definedName name="QB_ROW_26240" localSheetId="1" hidden="1">'2026 Budget'!$E$12</definedName>
    <definedName name="QB_ROW_27240" localSheetId="4" hidden="1">'2022 Budget'!$D$25</definedName>
    <definedName name="QB_ROW_27240" localSheetId="3" hidden="1">'2023 Budget'!$D$24</definedName>
    <definedName name="QB_ROW_27240" localSheetId="2" hidden="1">'2023 Forecast'!#REF!</definedName>
    <definedName name="QB_ROW_27240" localSheetId="5" hidden="1">'2024 Budget'!$D$24</definedName>
    <definedName name="QB_ROW_27240" localSheetId="6" hidden="1">'2025 Budget'!$D$24</definedName>
    <definedName name="QB_ROW_27240" localSheetId="0" hidden="1">'2025 Forecast'!#REF!</definedName>
    <definedName name="QB_ROW_27240" localSheetId="1" hidden="1">'2026 Budget'!$D$24</definedName>
    <definedName name="QB_ROW_30240" localSheetId="4" hidden="1">'2022 Budget'!$D$18</definedName>
    <definedName name="QB_ROW_30240" localSheetId="3" hidden="1">'2023 Budget'!$D$18</definedName>
    <definedName name="QB_ROW_30240" localSheetId="2" hidden="1">'2023 Forecast'!$D$17</definedName>
    <definedName name="QB_ROW_30240" localSheetId="5" hidden="1">'2024 Budget'!$D$18</definedName>
    <definedName name="QB_ROW_30240" localSheetId="6" hidden="1">'2025 Budget'!$D$18</definedName>
    <definedName name="QB_ROW_30240" localSheetId="0" hidden="1">'2025 Forecast'!$D$17</definedName>
    <definedName name="QB_ROW_30240" localSheetId="1" hidden="1">'2026 Budget'!$D$18</definedName>
    <definedName name="QB_ROW_31240" localSheetId="4" hidden="1">'2022 Budget'!$E$13</definedName>
    <definedName name="QB_ROW_31240" localSheetId="3" hidden="1">'2023 Budget'!$E$13</definedName>
    <definedName name="QB_ROW_31240" localSheetId="2" hidden="1">'2023 Forecast'!#REF!</definedName>
    <definedName name="QB_ROW_31240" localSheetId="5" hidden="1">'2024 Budget'!$E$13</definedName>
    <definedName name="QB_ROW_31240" localSheetId="6" hidden="1">'2025 Budget'!$E$13</definedName>
    <definedName name="QB_ROW_31240" localSheetId="0" hidden="1">'2025 Forecast'!#REF!</definedName>
    <definedName name="QB_ROW_31240" localSheetId="1" hidden="1">'2026 Budget'!$E$13</definedName>
    <definedName name="QB_ROW_35240" localSheetId="4" hidden="1">'2022 Budget'!$D$23</definedName>
    <definedName name="QB_ROW_35240" localSheetId="3" hidden="1">'2023 Budget'!$D$22</definedName>
    <definedName name="QB_ROW_35240" localSheetId="2" hidden="1">'2023 Forecast'!#REF!</definedName>
    <definedName name="QB_ROW_35240" localSheetId="5" hidden="1">'2024 Budget'!$D$22</definedName>
    <definedName name="QB_ROW_35240" localSheetId="6" hidden="1">'2025 Budget'!$D$22</definedName>
    <definedName name="QB_ROW_35240" localSheetId="0" hidden="1">'2025 Forecast'!#REF!</definedName>
    <definedName name="QB_ROW_35240" localSheetId="1" hidden="1">'2026 Budget'!$D$22</definedName>
    <definedName name="QB_ROW_52240" localSheetId="4" hidden="1">'2022 Budget'!#REF!</definedName>
    <definedName name="QB_ROW_52240" localSheetId="3" hidden="1">'2023 Budget'!#REF!</definedName>
    <definedName name="QB_ROW_52240" localSheetId="2" hidden="1">'2023 Forecast'!#REF!</definedName>
    <definedName name="QB_ROW_52240" localSheetId="5" hidden="1">'2024 Budget'!#REF!</definedName>
    <definedName name="QB_ROW_52240" localSheetId="6" hidden="1">'2025 Budget'!#REF!</definedName>
    <definedName name="QB_ROW_52240" localSheetId="0" hidden="1">'2025 Forecast'!#REF!</definedName>
    <definedName name="QB_ROW_52240" localSheetId="1" hidden="1">'2026 Budget'!#REF!</definedName>
    <definedName name="QB_ROW_53240" localSheetId="4" hidden="1">'2022 Budget'!#REF!</definedName>
    <definedName name="QB_ROW_53240" localSheetId="3" hidden="1">'2023 Budget'!#REF!</definedName>
    <definedName name="QB_ROW_53240" localSheetId="2" hidden="1">'2023 Forecast'!#REF!</definedName>
    <definedName name="QB_ROW_53240" localSheetId="5" hidden="1">'2024 Budget'!#REF!</definedName>
    <definedName name="QB_ROW_53240" localSheetId="6" hidden="1">'2025 Budget'!#REF!</definedName>
    <definedName name="QB_ROW_53240" localSheetId="0" hidden="1">'2025 Forecast'!#REF!</definedName>
    <definedName name="QB_ROW_53240" localSheetId="1" hidden="1">'2026 Budget'!#REF!</definedName>
    <definedName name="QB_ROW_54240" localSheetId="4" hidden="1">'2022 Budget'!$D$51</definedName>
    <definedName name="QB_ROW_54240" localSheetId="3" hidden="1">'2023 Budget'!$D$50</definedName>
    <definedName name="QB_ROW_54240" localSheetId="2" hidden="1">'2023 Forecast'!#REF!</definedName>
    <definedName name="QB_ROW_54240" localSheetId="5" hidden="1">'2024 Budget'!$D$49</definedName>
    <definedName name="QB_ROW_54240" localSheetId="6" hidden="1">'2025 Budget'!$D$49</definedName>
    <definedName name="QB_ROW_54240" localSheetId="0" hidden="1">'2025 Forecast'!#REF!</definedName>
    <definedName name="QB_ROW_54240" localSheetId="1" hidden="1">'2026 Budget'!$D$50</definedName>
    <definedName name="QB_ROW_55240" localSheetId="4" hidden="1">'2022 Budget'!#REF!</definedName>
    <definedName name="QB_ROW_55240" localSheetId="3" hidden="1">'2023 Budget'!#REF!</definedName>
    <definedName name="QB_ROW_55240" localSheetId="2" hidden="1">'2023 Forecast'!#REF!</definedName>
    <definedName name="QB_ROW_55240" localSheetId="5" hidden="1">'2024 Budget'!#REF!</definedName>
    <definedName name="QB_ROW_55240" localSheetId="6" hidden="1">'2025 Budget'!#REF!</definedName>
    <definedName name="QB_ROW_55240" localSheetId="0" hidden="1">'2025 Forecast'!#REF!</definedName>
    <definedName name="QB_ROW_55240" localSheetId="1" hidden="1">'2026 Budget'!#REF!</definedName>
    <definedName name="QB_ROW_56240" localSheetId="4" hidden="1">'2022 Budget'!#REF!</definedName>
    <definedName name="QB_ROW_56240" localSheetId="3" hidden="1">'2023 Budget'!#REF!</definedName>
    <definedName name="QB_ROW_56240" localSheetId="2" hidden="1">'2023 Forecast'!#REF!</definedName>
    <definedName name="QB_ROW_56240" localSheetId="5" hidden="1">'2024 Budget'!#REF!</definedName>
    <definedName name="QB_ROW_56240" localSheetId="6" hidden="1">'2025 Budget'!#REF!</definedName>
    <definedName name="QB_ROW_56240" localSheetId="0" hidden="1">'2025 Forecast'!#REF!</definedName>
    <definedName name="QB_ROW_56240" localSheetId="1" hidden="1">'2026 Budget'!#REF!</definedName>
    <definedName name="QB_ROW_58240" localSheetId="4" hidden="1">'2022 Budget'!#REF!</definedName>
    <definedName name="QB_ROW_58240" localSheetId="3" hidden="1">'2023 Budget'!#REF!</definedName>
    <definedName name="QB_ROW_58240" localSheetId="2" hidden="1">'2023 Forecast'!#REF!</definedName>
    <definedName name="QB_ROW_58240" localSheetId="5" hidden="1">'2024 Budget'!#REF!</definedName>
    <definedName name="QB_ROW_58240" localSheetId="6" hidden="1">'2025 Budget'!#REF!</definedName>
    <definedName name="QB_ROW_58240" localSheetId="0" hidden="1">'2025 Forecast'!#REF!</definedName>
    <definedName name="QB_ROW_58240" localSheetId="1" hidden="1">'2026 Budget'!#REF!</definedName>
    <definedName name="QB_ROW_61240" localSheetId="4" hidden="1">'2022 Budget'!#REF!</definedName>
    <definedName name="QB_ROW_61240" localSheetId="3" hidden="1">'2023 Budget'!#REF!</definedName>
    <definedName name="QB_ROW_61240" localSheetId="2" hidden="1">'2023 Forecast'!#REF!</definedName>
    <definedName name="QB_ROW_61240" localSheetId="5" hidden="1">'2024 Budget'!#REF!</definedName>
    <definedName name="QB_ROW_61240" localSheetId="6" hidden="1">'2025 Budget'!#REF!</definedName>
    <definedName name="QB_ROW_61240" localSheetId="0" hidden="1">'2025 Forecast'!#REF!</definedName>
    <definedName name="QB_ROW_61240" localSheetId="1" hidden="1">'2026 Budget'!#REF!</definedName>
    <definedName name="QB_ROW_62240" localSheetId="4" hidden="1">'2022 Budget'!#REF!</definedName>
    <definedName name="QB_ROW_62240" localSheetId="3" hidden="1">'2023 Budget'!#REF!</definedName>
    <definedName name="QB_ROW_62240" localSheetId="2" hidden="1">'2023 Forecast'!#REF!</definedName>
    <definedName name="QB_ROW_62240" localSheetId="5" hidden="1">'2024 Budget'!#REF!</definedName>
    <definedName name="QB_ROW_62240" localSheetId="6" hidden="1">'2025 Budget'!#REF!</definedName>
    <definedName name="QB_ROW_62240" localSheetId="0" hidden="1">'2025 Forecast'!#REF!</definedName>
    <definedName name="QB_ROW_62240" localSheetId="1" hidden="1">'2026 Budget'!#REF!</definedName>
    <definedName name="QB_ROW_64240" localSheetId="4" hidden="1">'2022 Budget'!#REF!</definedName>
    <definedName name="QB_ROW_64240" localSheetId="3" hidden="1">'2023 Budget'!#REF!</definedName>
    <definedName name="QB_ROW_64240" localSheetId="2" hidden="1">'2023 Forecast'!#REF!</definedName>
    <definedName name="QB_ROW_64240" localSheetId="5" hidden="1">'2024 Budget'!#REF!</definedName>
    <definedName name="QB_ROW_64240" localSheetId="6" hidden="1">'2025 Budget'!#REF!</definedName>
    <definedName name="QB_ROW_64240" localSheetId="0" hidden="1">'2025 Forecast'!#REF!</definedName>
    <definedName name="QB_ROW_64240" localSheetId="1" hidden="1">'2026 Budget'!#REF!</definedName>
    <definedName name="QB_ROW_65240" localSheetId="4" hidden="1">'2022 Budget'!#REF!</definedName>
    <definedName name="QB_ROW_65240" localSheetId="3" hidden="1">'2023 Budget'!#REF!</definedName>
    <definedName name="QB_ROW_65240" localSheetId="2" hidden="1">'2023 Forecast'!#REF!</definedName>
    <definedName name="QB_ROW_65240" localSheetId="5" hidden="1">'2024 Budget'!#REF!</definedName>
    <definedName name="QB_ROW_65240" localSheetId="6" hidden="1">'2025 Budget'!#REF!</definedName>
    <definedName name="QB_ROW_65240" localSheetId="0" hidden="1">'2025 Forecast'!#REF!</definedName>
    <definedName name="QB_ROW_65240" localSheetId="1" hidden="1">'2026 Budget'!#REF!</definedName>
    <definedName name="QB_ROW_67240" localSheetId="4" hidden="1">'2022 Budget'!#REF!</definedName>
    <definedName name="QB_ROW_67240" localSheetId="3" hidden="1">'2023 Budget'!#REF!</definedName>
    <definedName name="QB_ROW_67240" localSheetId="2" hidden="1">'2023 Forecast'!#REF!</definedName>
    <definedName name="QB_ROW_67240" localSheetId="5" hidden="1">'2024 Budget'!#REF!</definedName>
    <definedName name="QB_ROW_67240" localSheetId="6" hidden="1">'2025 Budget'!#REF!</definedName>
    <definedName name="QB_ROW_67240" localSheetId="0" hidden="1">'2025 Forecast'!#REF!</definedName>
    <definedName name="QB_ROW_67240" localSheetId="1" hidden="1">'2026 Budget'!#REF!</definedName>
    <definedName name="QB_ROW_68240" localSheetId="4" hidden="1">'2022 Budget'!#REF!</definedName>
    <definedName name="QB_ROW_68240" localSheetId="3" hidden="1">'2023 Budget'!#REF!</definedName>
    <definedName name="QB_ROW_68240" localSheetId="2" hidden="1">'2023 Forecast'!#REF!</definedName>
    <definedName name="QB_ROW_68240" localSheetId="5" hidden="1">'2024 Budget'!#REF!</definedName>
    <definedName name="QB_ROW_68240" localSheetId="6" hidden="1">'2025 Budget'!#REF!</definedName>
    <definedName name="QB_ROW_68240" localSheetId="0" hidden="1">'2025 Forecast'!#REF!</definedName>
    <definedName name="QB_ROW_68240" localSheetId="1" hidden="1">'2026 Budget'!#REF!</definedName>
    <definedName name="QB_ROW_69040" localSheetId="4" hidden="1">'2022 Budget'!#REF!</definedName>
    <definedName name="QB_ROW_69040" localSheetId="3" hidden="1">'2023 Budget'!#REF!</definedName>
    <definedName name="QB_ROW_69040" localSheetId="2" hidden="1">'2023 Forecast'!#REF!</definedName>
    <definedName name="QB_ROW_69040" localSheetId="5" hidden="1">'2024 Budget'!#REF!</definedName>
    <definedName name="QB_ROW_69040" localSheetId="6" hidden="1">'2025 Budget'!#REF!</definedName>
    <definedName name="QB_ROW_69040" localSheetId="0" hidden="1">'2025 Forecast'!#REF!</definedName>
    <definedName name="QB_ROW_69040" localSheetId="1" hidden="1">'2026 Budget'!#REF!</definedName>
    <definedName name="QB_ROW_69340" localSheetId="4" hidden="1">'2022 Budget'!#REF!</definedName>
    <definedName name="QB_ROW_69340" localSheetId="3" hidden="1">'2023 Budget'!#REF!</definedName>
    <definedName name="QB_ROW_69340" localSheetId="2" hidden="1">'2023 Forecast'!#REF!</definedName>
    <definedName name="QB_ROW_69340" localSheetId="5" hidden="1">'2024 Budget'!#REF!</definedName>
    <definedName name="QB_ROW_69340" localSheetId="6" hidden="1">'2025 Budget'!#REF!</definedName>
    <definedName name="QB_ROW_69340" localSheetId="0" hidden="1">'2025 Forecast'!#REF!</definedName>
    <definedName name="QB_ROW_69340" localSheetId="1" hidden="1">'2026 Budget'!#REF!</definedName>
    <definedName name="QB_ROW_70250" localSheetId="4" hidden="1">'2022 Budget'!#REF!</definedName>
    <definedName name="QB_ROW_70250" localSheetId="3" hidden="1">'2023 Budget'!#REF!</definedName>
    <definedName name="QB_ROW_70250" localSheetId="2" hidden="1">'2023 Forecast'!#REF!</definedName>
    <definedName name="QB_ROW_70250" localSheetId="5" hidden="1">'2024 Budget'!#REF!</definedName>
    <definedName name="QB_ROW_70250" localSheetId="6" hidden="1">'2025 Budget'!#REF!</definedName>
    <definedName name="QB_ROW_70250" localSheetId="0" hidden="1">'2025 Forecast'!#REF!</definedName>
    <definedName name="QB_ROW_70250" localSheetId="1" hidden="1">'2026 Budget'!#REF!</definedName>
    <definedName name="QB_ROW_71250" localSheetId="4" hidden="1">'2022 Budget'!#REF!</definedName>
    <definedName name="QB_ROW_71250" localSheetId="3" hidden="1">'2023 Budget'!#REF!</definedName>
    <definedName name="QB_ROW_71250" localSheetId="2" hidden="1">'2023 Forecast'!#REF!</definedName>
    <definedName name="QB_ROW_71250" localSheetId="5" hidden="1">'2024 Budget'!#REF!</definedName>
    <definedName name="QB_ROW_71250" localSheetId="6" hidden="1">'2025 Budget'!#REF!</definedName>
    <definedName name="QB_ROW_71250" localSheetId="0" hidden="1">'2025 Forecast'!#REF!</definedName>
    <definedName name="QB_ROW_71250" localSheetId="1" hidden="1">'2026 Budget'!#REF!</definedName>
    <definedName name="QB_ROW_72250" localSheetId="4" hidden="1">'2022 Budget'!#REF!</definedName>
    <definedName name="QB_ROW_72250" localSheetId="3" hidden="1">'2023 Budget'!#REF!</definedName>
    <definedName name="QB_ROW_72250" localSheetId="2" hidden="1">'2023 Forecast'!#REF!</definedName>
    <definedName name="QB_ROW_72250" localSheetId="5" hidden="1">'2024 Budget'!#REF!</definedName>
    <definedName name="QB_ROW_72250" localSheetId="6" hidden="1">'2025 Budget'!#REF!</definedName>
    <definedName name="QB_ROW_72250" localSheetId="0" hidden="1">'2025 Forecast'!#REF!</definedName>
    <definedName name="QB_ROW_72250" localSheetId="1" hidden="1">'2026 Budget'!#REF!</definedName>
    <definedName name="QB_ROW_73250" localSheetId="4" hidden="1">'2022 Budget'!#REF!</definedName>
    <definedName name="QB_ROW_73250" localSheetId="3" hidden="1">'2023 Budget'!#REF!</definedName>
    <definedName name="QB_ROW_73250" localSheetId="2" hidden="1">'2023 Forecast'!#REF!</definedName>
    <definedName name="QB_ROW_73250" localSheetId="5" hidden="1">'2024 Budget'!#REF!</definedName>
    <definedName name="QB_ROW_73250" localSheetId="6" hidden="1">'2025 Budget'!#REF!</definedName>
    <definedName name="QB_ROW_73250" localSheetId="0" hidden="1">'2025 Forecast'!#REF!</definedName>
    <definedName name="QB_ROW_73250" localSheetId="1" hidden="1">'2026 Budget'!#REF!</definedName>
    <definedName name="QB_ROW_74040" localSheetId="4" hidden="1">'2022 Budget'!#REF!</definedName>
    <definedName name="QB_ROW_74040" localSheetId="3" hidden="1">'2023 Budget'!#REF!</definedName>
    <definedName name="QB_ROW_74040" localSheetId="2" hidden="1">'2023 Forecast'!#REF!</definedName>
    <definedName name="QB_ROW_74040" localSheetId="5" hidden="1">'2024 Budget'!#REF!</definedName>
    <definedName name="QB_ROW_74040" localSheetId="6" hidden="1">'2025 Budget'!#REF!</definedName>
    <definedName name="QB_ROW_74040" localSheetId="0" hidden="1">'2025 Forecast'!#REF!</definedName>
    <definedName name="QB_ROW_74040" localSheetId="1" hidden="1">'2026 Budget'!#REF!</definedName>
    <definedName name="QB_ROW_74340" localSheetId="4" hidden="1">'2022 Budget'!#REF!</definedName>
    <definedName name="QB_ROW_74340" localSheetId="3" hidden="1">'2023 Budget'!#REF!</definedName>
    <definedName name="QB_ROW_74340" localSheetId="2" hidden="1">'2023 Forecast'!#REF!</definedName>
    <definedName name="QB_ROW_74340" localSheetId="5" hidden="1">'2024 Budget'!#REF!</definedName>
    <definedName name="QB_ROW_74340" localSheetId="6" hidden="1">'2025 Budget'!#REF!</definedName>
    <definedName name="QB_ROW_74340" localSheetId="0" hidden="1">'2025 Forecast'!#REF!</definedName>
    <definedName name="QB_ROW_74340" localSheetId="1" hidden="1">'2026 Budget'!#REF!</definedName>
    <definedName name="QB_ROW_75250" localSheetId="4" hidden="1">'2022 Budget'!#REF!</definedName>
    <definedName name="QB_ROW_75250" localSheetId="3" hidden="1">'2023 Budget'!#REF!</definedName>
    <definedName name="QB_ROW_75250" localSheetId="2" hidden="1">'2023 Forecast'!#REF!</definedName>
    <definedName name="QB_ROW_75250" localSheetId="5" hidden="1">'2024 Budget'!#REF!</definedName>
    <definedName name="QB_ROW_75250" localSheetId="6" hidden="1">'2025 Budget'!#REF!</definedName>
    <definedName name="QB_ROW_75250" localSheetId="0" hidden="1">'2025 Forecast'!#REF!</definedName>
    <definedName name="QB_ROW_75250" localSheetId="1" hidden="1">'2026 Budget'!#REF!</definedName>
    <definedName name="QB_ROW_77250" localSheetId="4" hidden="1">'2022 Budget'!#REF!</definedName>
    <definedName name="QB_ROW_77250" localSheetId="3" hidden="1">'2023 Budget'!#REF!</definedName>
    <definedName name="QB_ROW_77250" localSheetId="2" hidden="1">'2023 Forecast'!#REF!</definedName>
    <definedName name="QB_ROW_77250" localSheetId="5" hidden="1">'2024 Budget'!#REF!</definedName>
    <definedName name="QB_ROW_77250" localSheetId="6" hidden="1">'2025 Budget'!#REF!</definedName>
    <definedName name="QB_ROW_77250" localSheetId="0" hidden="1">'2025 Forecast'!#REF!</definedName>
    <definedName name="QB_ROW_77250" localSheetId="1" hidden="1">'2026 Budget'!#REF!</definedName>
    <definedName name="QB_ROW_78250" localSheetId="4" hidden="1">'2022 Budget'!#REF!</definedName>
    <definedName name="QB_ROW_78250" localSheetId="3" hidden="1">'2023 Budget'!#REF!</definedName>
    <definedName name="QB_ROW_78250" localSheetId="2" hidden="1">'2023 Forecast'!#REF!</definedName>
    <definedName name="QB_ROW_78250" localSheetId="5" hidden="1">'2024 Budget'!#REF!</definedName>
    <definedName name="QB_ROW_78250" localSheetId="6" hidden="1">'2025 Budget'!#REF!</definedName>
    <definedName name="QB_ROW_78250" localSheetId="0" hidden="1">'2025 Forecast'!#REF!</definedName>
    <definedName name="QB_ROW_78250" localSheetId="1" hidden="1">'2026 Budget'!#REF!</definedName>
    <definedName name="QB_ROW_79250" localSheetId="4" hidden="1">'2022 Budget'!#REF!</definedName>
    <definedName name="QB_ROW_79250" localSheetId="3" hidden="1">'2023 Budget'!#REF!</definedName>
    <definedName name="QB_ROW_79250" localSheetId="2" hidden="1">'2023 Forecast'!#REF!</definedName>
    <definedName name="QB_ROW_79250" localSheetId="5" hidden="1">'2024 Budget'!#REF!</definedName>
    <definedName name="QB_ROW_79250" localSheetId="6" hidden="1">'2025 Budget'!#REF!</definedName>
    <definedName name="QB_ROW_79250" localSheetId="0" hidden="1">'2025 Forecast'!#REF!</definedName>
    <definedName name="QB_ROW_79250" localSheetId="1" hidden="1">'2026 Budget'!#REF!</definedName>
    <definedName name="QB_ROW_82250" localSheetId="4" hidden="1">'2022 Budget'!#REF!</definedName>
    <definedName name="QB_ROW_82250" localSheetId="3" hidden="1">'2023 Budget'!#REF!</definedName>
    <definedName name="QB_ROW_82250" localSheetId="2" hidden="1">'2023 Forecast'!#REF!</definedName>
    <definedName name="QB_ROW_82250" localSheetId="5" hidden="1">'2024 Budget'!#REF!</definedName>
    <definedName name="QB_ROW_82250" localSheetId="6" hidden="1">'2025 Budget'!#REF!</definedName>
    <definedName name="QB_ROW_82250" localSheetId="0" hidden="1">'2025 Forecast'!#REF!</definedName>
    <definedName name="QB_ROW_82250" localSheetId="1" hidden="1">'2026 Budget'!#REF!</definedName>
    <definedName name="QB_ROW_84050" localSheetId="4" hidden="1">'2022 Budget'!#REF!</definedName>
    <definedName name="QB_ROW_84050" localSheetId="3" hidden="1">'2023 Budget'!#REF!</definedName>
    <definedName name="QB_ROW_84050" localSheetId="2" hidden="1">'2023 Forecast'!#REF!</definedName>
    <definedName name="QB_ROW_84050" localSheetId="5" hidden="1">'2024 Budget'!#REF!</definedName>
    <definedName name="QB_ROW_84050" localSheetId="6" hidden="1">'2025 Budget'!#REF!</definedName>
    <definedName name="QB_ROW_84050" localSheetId="0" hidden="1">'2025 Forecast'!#REF!</definedName>
    <definedName name="QB_ROW_84050" localSheetId="1" hidden="1">'2026 Budget'!#REF!</definedName>
    <definedName name="QB_ROW_84350" localSheetId="4" hidden="1">'2022 Budget'!#REF!</definedName>
    <definedName name="QB_ROW_84350" localSheetId="3" hidden="1">'2023 Budget'!#REF!</definedName>
    <definedName name="QB_ROW_84350" localSheetId="2" hidden="1">'2023 Forecast'!#REF!</definedName>
    <definedName name="QB_ROW_84350" localSheetId="5" hidden="1">'2024 Budget'!#REF!</definedName>
    <definedName name="QB_ROW_84350" localSheetId="6" hidden="1">'2025 Budget'!#REF!</definedName>
    <definedName name="QB_ROW_84350" localSheetId="0" hidden="1">'2025 Forecast'!#REF!</definedName>
    <definedName name="QB_ROW_84350" localSheetId="1" hidden="1">'2026 Budget'!#REF!</definedName>
    <definedName name="QB_ROW_85260" localSheetId="4" hidden="1">'2022 Budget'!#REF!</definedName>
    <definedName name="QB_ROW_85260" localSheetId="3" hidden="1">'2023 Budget'!#REF!</definedName>
    <definedName name="QB_ROW_85260" localSheetId="2" hidden="1">'2023 Forecast'!#REF!</definedName>
    <definedName name="QB_ROW_85260" localSheetId="5" hidden="1">'2024 Budget'!#REF!</definedName>
    <definedName name="QB_ROW_85260" localSheetId="6" hidden="1">'2025 Budget'!#REF!</definedName>
    <definedName name="QB_ROW_85260" localSheetId="0" hidden="1">'2025 Forecast'!#REF!</definedName>
    <definedName name="QB_ROW_85260" localSheetId="1" hidden="1">'2026 Budget'!#REF!</definedName>
    <definedName name="QB_ROW_86260" localSheetId="4" hidden="1">'2022 Budget'!#REF!</definedName>
    <definedName name="QB_ROW_86260" localSheetId="3" hidden="1">'2023 Budget'!#REF!</definedName>
    <definedName name="QB_ROW_86260" localSheetId="2" hidden="1">'2023 Forecast'!#REF!</definedName>
    <definedName name="QB_ROW_86260" localSheetId="5" hidden="1">'2024 Budget'!#REF!</definedName>
    <definedName name="QB_ROW_86260" localSheetId="6" hidden="1">'2025 Budget'!#REF!</definedName>
    <definedName name="QB_ROW_86260" localSheetId="0" hidden="1">'2025 Forecast'!#REF!</definedName>
    <definedName name="QB_ROW_86260" localSheetId="1" hidden="1">'2026 Budget'!#REF!</definedName>
    <definedName name="QB_ROW_86321" localSheetId="4" hidden="1">'2022 Budget'!$C$30</definedName>
    <definedName name="QB_ROW_86321" localSheetId="3" hidden="1">'2023 Budget'!$C$28</definedName>
    <definedName name="QB_ROW_86321" localSheetId="2" hidden="1">'2023 Forecast'!#REF!</definedName>
    <definedName name="QB_ROW_86321" localSheetId="5" hidden="1">'2024 Budget'!$C$28</definedName>
    <definedName name="QB_ROW_86321" localSheetId="6" hidden="1">'2025 Budget'!$C$28</definedName>
    <definedName name="QB_ROW_86321" localSheetId="0" hidden="1">'2025 Forecast'!#REF!</definedName>
    <definedName name="QB_ROW_86321" localSheetId="1" hidden="1">'2026 Budget'!$C$28</definedName>
    <definedName name="QB_ROW_90040" localSheetId="4" hidden="1">'2022 Budget'!#REF!</definedName>
    <definedName name="QB_ROW_90040" localSheetId="3" hidden="1">'2023 Budget'!#REF!</definedName>
    <definedName name="QB_ROW_90040" localSheetId="2" hidden="1">'2023 Forecast'!#REF!</definedName>
    <definedName name="QB_ROW_90040" localSheetId="5" hidden="1">'2024 Budget'!#REF!</definedName>
    <definedName name="QB_ROW_90040" localSheetId="6" hidden="1">'2025 Budget'!#REF!</definedName>
    <definedName name="QB_ROW_90040" localSheetId="0" hidden="1">'2025 Forecast'!#REF!</definedName>
    <definedName name="QB_ROW_90040" localSheetId="1" hidden="1">'2026 Budget'!#REF!</definedName>
    <definedName name="QB_ROW_90340" localSheetId="4" hidden="1">'2022 Budget'!#REF!</definedName>
    <definedName name="QB_ROW_90340" localSheetId="3" hidden="1">'2023 Budget'!#REF!</definedName>
    <definedName name="QB_ROW_90340" localSheetId="2" hidden="1">'2023 Forecast'!#REF!</definedName>
    <definedName name="QB_ROW_90340" localSheetId="5" hidden="1">'2024 Budget'!#REF!</definedName>
    <definedName name="QB_ROW_90340" localSheetId="6" hidden="1">'2025 Budget'!#REF!</definedName>
    <definedName name="QB_ROW_90340" localSheetId="0" hidden="1">'2025 Forecast'!#REF!</definedName>
    <definedName name="QB_ROW_90340" localSheetId="1" hidden="1">'2026 Budget'!#REF!</definedName>
    <definedName name="QB_ROW_91250" localSheetId="4" hidden="1">'2022 Budget'!#REF!</definedName>
    <definedName name="QB_ROW_91250" localSheetId="3" hidden="1">'2023 Budget'!#REF!</definedName>
    <definedName name="QB_ROW_91250" localSheetId="2" hidden="1">'2023 Forecast'!#REF!</definedName>
    <definedName name="QB_ROW_91250" localSheetId="5" hidden="1">'2024 Budget'!#REF!</definedName>
    <definedName name="QB_ROW_91250" localSheetId="6" hidden="1">'2025 Budget'!#REF!</definedName>
    <definedName name="QB_ROW_91250" localSheetId="0" hidden="1">'2025 Forecast'!#REF!</definedName>
    <definedName name="QB_ROW_91250" localSheetId="1" hidden="1">'2026 Budget'!#REF!</definedName>
    <definedName name="QB_ROW_93250" localSheetId="4" hidden="1">'2022 Budget'!#REF!</definedName>
    <definedName name="QB_ROW_93250" localSheetId="3" hidden="1">'2023 Budget'!#REF!</definedName>
    <definedName name="QB_ROW_93250" localSheetId="2" hidden="1">'2023 Forecast'!#REF!</definedName>
    <definedName name="QB_ROW_93250" localSheetId="5" hidden="1">'2024 Budget'!#REF!</definedName>
    <definedName name="QB_ROW_93250" localSheetId="6" hidden="1">'2025 Budget'!#REF!</definedName>
    <definedName name="QB_ROW_93250" localSheetId="0" hidden="1">'2025 Forecast'!#REF!</definedName>
    <definedName name="QB_ROW_93250" localSheetId="1" hidden="1">'2026 Budget'!#REF!</definedName>
    <definedName name="QB_ROW_94250" localSheetId="4" hidden="1">'2022 Budget'!#REF!</definedName>
    <definedName name="QB_ROW_94250" localSheetId="3" hidden="1">'2023 Budget'!#REF!</definedName>
    <definedName name="QB_ROW_94250" localSheetId="2" hidden="1">'2023 Forecast'!#REF!</definedName>
    <definedName name="QB_ROW_94250" localSheetId="5" hidden="1">'2024 Budget'!#REF!</definedName>
    <definedName name="QB_ROW_94250" localSheetId="6" hidden="1">'2025 Budget'!#REF!</definedName>
    <definedName name="QB_ROW_94250" localSheetId="0" hidden="1">'2025 Forecast'!#REF!</definedName>
    <definedName name="QB_ROW_94250" localSheetId="1" hidden="1">'2026 Budget'!#REF!</definedName>
    <definedName name="QB_ROW_95250" localSheetId="4" hidden="1">'2022 Budget'!#REF!</definedName>
    <definedName name="QB_ROW_95250" localSheetId="3" hidden="1">'2023 Budget'!#REF!</definedName>
    <definedName name="QB_ROW_95250" localSheetId="2" hidden="1">'2023 Forecast'!#REF!</definedName>
    <definedName name="QB_ROW_95250" localSheetId="5" hidden="1">'2024 Budget'!#REF!</definedName>
    <definedName name="QB_ROW_95250" localSheetId="6" hidden="1">'2025 Budget'!#REF!</definedName>
    <definedName name="QB_ROW_95250" localSheetId="0" hidden="1">'2025 Forecast'!#REF!</definedName>
    <definedName name="QB_ROW_95250" localSheetId="1" hidden="1">'2026 Budget'!#REF!</definedName>
    <definedName name="QB_ROW_96250" localSheetId="4" hidden="1">'2022 Budget'!#REF!</definedName>
    <definedName name="QB_ROW_96250" localSheetId="3" hidden="1">'2023 Budget'!#REF!</definedName>
    <definedName name="QB_ROW_96250" localSheetId="2" hidden="1">'2023 Forecast'!#REF!</definedName>
    <definedName name="QB_ROW_96250" localSheetId="5" hidden="1">'2024 Budget'!#REF!</definedName>
    <definedName name="QB_ROW_96250" localSheetId="6" hidden="1">'2025 Budget'!#REF!</definedName>
    <definedName name="QB_ROW_96250" localSheetId="0" hidden="1">'2025 Forecast'!#REF!</definedName>
    <definedName name="QB_ROW_96250" localSheetId="1" hidden="1">'2026 Budget'!#REF!</definedName>
    <definedName name="QB_ROW_99250" localSheetId="4" hidden="1">'2022 Budget'!#REF!</definedName>
    <definedName name="QB_ROW_99250" localSheetId="3" hidden="1">'2023 Budget'!#REF!</definedName>
    <definedName name="QB_ROW_99250" localSheetId="2" hidden="1">'2023 Forecast'!#REF!</definedName>
    <definedName name="QB_ROW_99250" localSheetId="5" hidden="1">'2024 Budget'!#REF!</definedName>
    <definedName name="QB_ROW_99250" localSheetId="6" hidden="1">'2025 Budget'!#REF!</definedName>
    <definedName name="QB_ROW_99250" localSheetId="0" hidden="1">'2025 Forecast'!#REF!</definedName>
    <definedName name="QB_ROW_99250" localSheetId="1" hidden="1">'2026 Budget'!#REF!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5">TRUE</definedName>
    <definedName name="QBCANSUPPORTUPDATE" localSheetId="6">TRUE</definedName>
    <definedName name="QBCANSUPPORTUPDATE" localSheetId="0">TRUE</definedName>
    <definedName name="QBCANSUPPORTUPDATE" localSheetId="1">TRUE</definedName>
    <definedName name="QBCOMPANYFILENAME" localSheetId="4">"C:\Users\Amy\Documents\QB Working Files\Fixed_HPHA QB File.qbw"</definedName>
    <definedName name="QBCOMPANYFILENAME" localSheetId="3">"C:\Users\Amy\Documents\QB Working Files\Fixed_HPHA QB File.qbw"</definedName>
    <definedName name="QBCOMPANYFILENAME" localSheetId="2">"C:\Users\Amy\Documents\QB Working Files\Fixed_HPHA QB File.qbw"</definedName>
    <definedName name="QBCOMPANYFILENAME" localSheetId="5">"C:\Users\Amy\Documents\QB Working Files\Fixed_HPHA QB File.qbw"</definedName>
    <definedName name="QBCOMPANYFILENAME" localSheetId="6">"C:\Users\Amy\Documents\QB Working Files\Fixed_HPHA QB File.qbw"</definedName>
    <definedName name="QBCOMPANYFILENAME" localSheetId="0">"C:\Users\Amy\Documents\QB Working Files\Fixed_HPHA QB File.qbw"</definedName>
    <definedName name="QBCOMPANYFILENAME" localSheetId="1">"C:\Users\Amy\Documents\QB Working Files\Fixed_HPHA QB File.qbw"</definedName>
    <definedName name="QBENDDATE" localSheetId="4">20130831</definedName>
    <definedName name="QBENDDATE" localSheetId="3">20130831</definedName>
    <definedName name="QBENDDATE" localSheetId="2">20130831</definedName>
    <definedName name="QBENDDATE" localSheetId="5">20130831</definedName>
    <definedName name="QBENDDATE" localSheetId="6">20130831</definedName>
    <definedName name="QBENDDATE" localSheetId="0">20130831</definedName>
    <definedName name="QBENDDATE" localSheetId="1">20130831</definedName>
    <definedName name="QBHEADERSONSCREEN" localSheetId="4">FALSE</definedName>
    <definedName name="QBHEADERSONSCREEN" localSheetId="3">FALSE</definedName>
    <definedName name="QBHEADERSONSCREEN" localSheetId="2">FALSE</definedName>
    <definedName name="QBHEADERSONSCREEN" localSheetId="5">FALSE</definedName>
    <definedName name="QBHEADERSONSCREEN" localSheetId="6">FALSE</definedName>
    <definedName name="QBHEADERSONSCREEN" localSheetId="0">FALSE</definedName>
    <definedName name="QBHEADERSONSCREEN" localSheetId="1">FALSE</definedName>
    <definedName name="QBMETADATASIZE" localSheetId="4">5809</definedName>
    <definedName name="QBMETADATASIZE" localSheetId="3">5809</definedName>
    <definedName name="QBMETADATASIZE" localSheetId="2">5809</definedName>
    <definedName name="QBMETADATASIZE" localSheetId="5">5809</definedName>
    <definedName name="QBMETADATASIZE" localSheetId="6">5809</definedName>
    <definedName name="QBMETADATASIZE" localSheetId="0">5809</definedName>
    <definedName name="QBMETADATASIZE" localSheetId="1">5809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5">TRUE</definedName>
    <definedName name="QBPRESERVECOLOR" localSheetId="6">TRUE</definedName>
    <definedName name="QBPRESERVECOLOR" localSheetId="0">TRUE</definedName>
    <definedName name="QBPRESERVECOLOR" localSheetId="1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5">TRUE</definedName>
    <definedName name="QBPRESERVEFONT" localSheetId="6">TRUE</definedName>
    <definedName name="QBPRESERVEFONT" localSheetId="0">TRUE</definedName>
    <definedName name="QBPRESERVEFONT" localSheetId="1">TRUE</definedName>
    <definedName name="QBPRESERVEROWHEIGHT" localSheetId="4">TRUE</definedName>
    <definedName name="QBPRESERVEROWHEIGHT" localSheetId="3">TRUE</definedName>
    <definedName name="QBPRESERVEROWHEIGHT" localSheetId="2">TRUE</definedName>
    <definedName name="QBPRESERVEROWHEIGHT" localSheetId="5">TRUE</definedName>
    <definedName name="QBPRESERVEROWHEIGHT" localSheetId="6">TRUE</definedName>
    <definedName name="QBPRESERVEROWHEIGHT" localSheetId="0">TRUE</definedName>
    <definedName name="QBPRESERVEROWHEIGHT" localSheetId="1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5">TRUE</definedName>
    <definedName name="QBPRESERVESPACE" localSheetId="6">TRUE</definedName>
    <definedName name="QBPRESERVESPACE" localSheetId="0">TRUE</definedName>
    <definedName name="QBPRESERVESPACE" localSheetId="1">TRUE</definedName>
    <definedName name="QBREPORTCOLAXIS" localSheetId="4">6</definedName>
    <definedName name="QBREPORTCOLAXIS" localSheetId="3">6</definedName>
    <definedName name="QBREPORTCOLAXIS" localSheetId="2">6</definedName>
    <definedName name="QBREPORTCOLAXIS" localSheetId="5">6</definedName>
    <definedName name="QBREPORTCOLAXIS" localSheetId="6">6</definedName>
    <definedName name="QBREPORTCOLAXIS" localSheetId="0">6</definedName>
    <definedName name="QBREPORTCOLAXIS" localSheetId="1">6</definedName>
    <definedName name="QBREPORTCOMPANYID" localSheetId="4">"852c50d5a8664b4cab989a2fcac83197"</definedName>
    <definedName name="QBREPORTCOMPANYID" localSheetId="3">"852c50d5a8664b4cab989a2fcac83197"</definedName>
    <definedName name="QBREPORTCOMPANYID" localSheetId="2">"852c50d5a8664b4cab989a2fcac83197"</definedName>
    <definedName name="QBREPORTCOMPANYID" localSheetId="5">"852c50d5a8664b4cab989a2fcac83197"</definedName>
    <definedName name="QBREPORTCOMPANYID" localSheetId="6">"852c50d5a8664b4cab989a2fcac83197"</definedName>
    <definedName name="QBREPORTCOMPANYID" localSheetId="0">"852c50d5a8664b4cab989a2fcac83197"</definedName>
    <definedName name="QBREPORTCOMPANYID" localSheetId="1">"852c50d5a8664b4cab989a2fcac83197"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5">FALSE</definedName>
    <definedName name="QBREPORTCOMPARECOL_ANNUALBUDGET" localSheetId="6">FALSE</definedName>
    <definedName name="QBREPORTCOMPARECOL_ANNUALBUDGET" localSheetId="0">FALSE</definedName>
    <definedName name="QBREPORTCOMPARECOL_ANNUALBUDGET" localSheetId="1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5">FALSE</definedName>
    <definedName name="QBREPORTCOMPARECOL_AVGCOGS" localSheetId="6">FALSE</definedName>
    <definedName name="QBREPORTCOMPARECOL_AVGCOGS" localSheetId="0">FALSE</definedName>
    <definedName name="QBREPORTCOMPARECOL_AVGCOGS" localSheetId="1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5">FALSE</definedName>
    <definedName name="QBREPORTCOMPARECOL_AVGPRICE" localSheetId="6">FALSE</definedName>
    <definedName name="QBREPORTCOMPARECOL_AVGPRICE" localSheetId="0">FALSE</definedName>
    <definedName name="QBREPORTCOMPARECOL_AVGPRICE" localSheetId="1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5">FALSE</definedName>
    <definedName name="QBREPORTCOMPARECOL_BUDDIFF" localSheetId="6">FALSE</definedName>
    <definedName name="QBREPORTCOMPARECOL_BUDDIFF" localSheetId="0">FALSE</definedName>
    <definedName name="QBREPORTCOMPARECOL_BUDDIFF" localSheetId="1">FALSE</definedName>
    <definedName name="QBREPORTCOMPARECOL_BUDGET" localSheetId="4">FALSE</definedName>
    <definedName name="QBREPORTCOMPARECOL_BUDGET" localSheetId="3">FALSE</definedName>
    <definedName name="QBREPORTCOMPARECOL_BUDGET" localSheetId="2">FALSE</definedName>
    <definedName name="QBREPORTCOMPARECOL_BUDGET" localSheetId="5">FALSE</definedName>
    <definedName name="QBREPORTCOMPARECOL_BUDGET" localSheetId="6">FALSE</definedName>
    <definedName name="QBREPORTCOMPARECOL_BUDGET" localSheetId="0">FALSE</definedName>
    <definedName name="QBREPORTCOMPARECOL_BUDGET" localSheetId="1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5">FALSE</definedName>
    <definedName name="QBREPORTCOMPARECOL_BUDPCT" localSheetId="6">FALSE</definedName>
    <definedName name="QBREPORTCOMPARECOL_BUDPCT" localSheetId="0">FALSE</definedName>
    <definedName name="QBREPORTCOMPARECOL_BUDPCT" localSheetId="1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5">FALSE</definedName>
    <definedName name="QBREPORTCOMPARECOL_COGS" localSheetId="6">FALSE</definedName>
    <definedName name="QBREPORTCOMPARECOL_COGS" localSheetId="0">FALSE</definedName>
    <definedName name="QBREPORTCOMPARECOL_COGS" localSheetId="1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5">FALSE</definedName>
    <definedName name="QBREPORTCOMPARECOL_EXCLUDEAMOUNT" localSheetId="6">FALSE</definedName>
    <definedName name="QBREPORTCOMPARECOL_EXCLUDEAMOUNT" localSheetId="0">FALSE</definedName>
    <definedName name="QBREPORTCOMPARECOL_EXCLUDEAMOUNT" localSheetId="1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5">FALSE</definedName>
    <definedName name="QBREPORTCOMPARECOL_EXCLUDECURPERIOD" localSheetId="6">FALSE</definedName>
    <definedName name="QBREPORTCOMPARECOL_EXCLUDECURPERIOD" localSheetId="0">FALSE</definedName>
    <definedName name="QBREPORTCOMPARECOL_EXCLUDECURPERIOD" localSheetId="1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5">FALSE</definedName>
    <definedName name="QBREPORTCOMPARECOL_FORECAST" localSheetId="6">FALSE</definedName>
    <definedName name="QBREPORTCOMPARECOL_FORECAST" localSheetId="0">FALSE</definedName>
    <definedName name="QBREPORTCOMPARECOL_FORECAST" localSheetId="1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5">FALSE</definedName>
    <definedName name="QBREPORTCOMPARECOL_GROSSMARGIN" localSheetId="6">FALSE</definedName>
    <definedName name="QBREPORTCOMPARECOL_GROSSMARGIN" localSheetId="0">FALSE</definedName>
    <definedName name="QBREPORTCOMPARECOL_GROSSMARGIN" localSheetId="1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5">FALSE</definedName>
    <definedName name="QBREPORTCOMPARECOL_GROSSMARGINPCT" localSheetId="6">FALSE</definedName>
    <definedName name="QBREPORTCOMPARECOL_GROSSMARGINPCT" localSheetId="0">FALSE</definedName>
    <definedName name="QBREPORTCOMPARECOL_GROSSMARGINPCT" localSheetId="1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5">FALSE</definedName>
    <definedName name="QBREPORTCOMPARECOL_HOURS" localSheetId="6">FALSE</definedName>
    <definedName name="QBREPORTCOMPARECOL_HOURS" localSheetId="0">FALSE</definedName>
    <definedName name="QBREPORTCOMPARECOL_HOURS" localSheetId="1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5">FALSE</definedName>
    <definedName name="QBREPORTCOMPARECOL_PCTCOL" localSheetId="6">FALSE</definedName>
    <definedName name="QBREPORTCOMPARECOL_PCTCOL" localSheetId="0">FALSE</definedName>
    <definedName name="QBREPORTCOMPARECOL_PCTCOL" localSheetId="1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5">FALSE</definedName>
    <definedName name="QBREPORTCOMPARECOL_PCTEXPENSE" localSheetId="6">FALSE</definedName>
    <definedName name="QBREPORTCOMPARECOL_PCTEXPENSE" localSheetId="0">FALSE</definedName>
    <definedName name="QBREPORTCOMPARECOL_PCTEXPENSE" localSheetId="1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5">FALSE</definedName>
    <definedName name="QBREPORTCOMPARECOL_PCTINCOME" localSheetId="6">FALSE</definedName>
    <definedName name="QBREPORTCOMPARECOL_PCTINCOME" localSheetId="0">FALSE</definedName>
    <definedName name="QBREPORTCOMPARECOL_PCTINCOME" localSheetId="1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5">FALSE</definedName>
    <definedName name="QBREPORTCOMPARECOL_PCTOFSALES" localSheetId="6">FALSE</definedName>
    <definedName name="QBREPORTCOMPARECOL_PCTOFSALES" localSheetId="0">FALSE</definedName>
    <definedName name="QBREPORTCOMPARECOL_PCTOFSALES" localSheetId="1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5">FALSE</definedName>
    <definedName name="QBREPORTCOMPARECOL_PCTROW" localSheetId="6">FALSE</definedName>
    <definedName name="QBREPORTCOMPARECOL_PCTROW" localSheetId="0">FALSE</definedName>
    <definedName name="QBREPORTCOMPARECOL_PCTROW" localSheetId="1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5">FALSE</definedName>
    <definedName name="QBREPORTCOMPARECOL_PPDIFF" localSheetId="6">FALSE</definedName>
    <definedName name="QBREPORTCOMPARECOL_PPDIFF" localSheetId="0">FALSE</definedName>
    <definedName name="QBREPORTCOMPARECOL_PPDIFF" localSheetId="1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5">FALSE</definedName>
    <definedName name="QBREPORTCOMPARECOL_PPPCT" localSheetId="6">FALSE</definedName>
    <definedName name="QBREPORTCOMPARECOL_PPPCT" localSheetId="0">FALSE</definedName>
    <definedName name="QBREPORTCOMPARECOL_PPPCT" localSheetId="1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5">FALSE</definedName>
    <definedName name="QBREPORTCOMPARECOL_PREVPERIOD" localSheetId="6">FALSE</definedName>
    <definedName name="QBREPORTCOMPARECOL_PREVPERIOD" localSheetId="0">FALSE</definedName>
    <definedName name="QBREPORTCOMPARECOL_PREVPERIOD" localSheetId="1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5">FALSE</definedName>
    <definedName name="QBREPORTCOMPARECOL_PREVYEAR" localSheetId="6">FALSE</definedName>
    <definedName name="QBREPORTCOMPARECOL_PREVYEAR" localSheetId="0">FALSE</definedName>
    <definedName name="QBREPORTCOMPARECOL_PREVYEAR" localSheetId="1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5">FALSE</definedName>
    <definedName name="QBREPORTCOMPARECOL_PYDIFF" localSheetId="6">FALSE</definedName>
    <definedName name="QBREPORTCOMPARECOL_PYDIFF" localSheetId="0">FALSE</definedName>
    <definedName name="QBREPORTCOMPARECOL_PYDIFF" localSheetId="1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5">FALSE</definedName>
    <definedName name="QBREPORTCOMPARECOL_PYPCT" localSheetId="6">FALSE</definedName>
    <definedName name="QBREPORTCOMPARECOL_PYPCT" localSheetId="0">FALSE</definedName>
    <definedName name="QBREPORTCOMPARECOL_PYPCT" localSheetId="1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5">FALSE</definedName>
    <definedName name="QBREPORTCOMPARECOL_QTY" localSheetId="6">FALSE</definedName>
    <definedName name="QBREPORTCOMPARECOL_QTY" localSheetId="0">FALSE</definedName>
    <definedName name="QBREPORTCOMPARECOL_QTY" localSheetId="1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5">FALSE</definedName>
    <definedName name="QBREPORTCOMPARECOL_RATE" localSheetId="6">FALSE</definedName>
    <definedName name="QBREPORTCOMPARECOL_RATE" localSheetId="0">FALSE</definedName>
    <definedName name="QBREPORTCOMPARECOL_RATE" localSheetId="1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5">FALSE</definedName>
    <definedName name="QBREPORTCOMPARECOL_TRIPBILLEDMILES" localSheetId="6">FALSE</definedName>
    <definedName name="QBREPORTCOMPARECOL_TRIPBILLEDMILES" localSheetId="0">FALSE</definedName>
    <definedName name="QBREPORTCOMPARECOL_TRIPBILLEDMILES" localSheetId="1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5">FALSE</definedName>
    <definedName name="QBREPORTCOMPARECOL_TRIPBILLINGAMOUNT" localSheetId="6">FALSE</definedName>
    <definedName name="QBREPORTCOMPARECOL_TRIPBILLINGAMOUNT" localSheetId="0">FALSE</definedName>
    <definedName name="QBREPORTCOMPARECOL_TRIPBILLINGAMOUNT" localSheetId="1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5">FALSE</definedName>
    <definedName name="QBREPORTCOMPARECOL_TRIPMILES" localSheetId="6">FALSE</definedName>
    <definedName name="QBREPORTCOMPARECOL_TRIPMILES" localSheetId="0">FALSE</definedName>
    <definedName name="QBREPORTCOMPARECOL_TRIPMILES" localSheetId="1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5">FALSE</definedName>
    <definedName name="QBREPORTCOMPARECOL_TRIPNOTBILLABLEMILES" localSheetId="6">FALSE</definedName>
    <definedName name="QBREPORTCOMPARECOL_TRIPNOTBILLABLEMILES" localSheetId="0">FALSE</definedName>
    <definedName name="QBREPORTCOMPARECOL_TRIPNOTBILLABLEMILES" localSheetId="1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5">FALSE</definedName>
    <definedName name="QBREPORTCOMPARECOL_TRIPTAXDEDUCTIBLEAMOUNT" localSheetId="6">FALSE</definedName>
    <definedName name="QBREPORTCOMPARECOL_TRIPTAXDEDUCTIBLEAMOUNT" localSheetId="0">FALSE</definedName>
    <definedName name="QBREPORTCOMPARECOL_TRIPTAXDEDUCTIBLEAMOUNT" localSheetId="1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5">FALSE</definedName>
    <definedName name="QBREPORTCOMPARECOL_TRIPUNBILLEDMILES" localSheetId="6">FALSE</definedName>
    <definedName name="QBREPORTCOMPARECOL_TRIPUNBILLEDMILES" localSheetId="0">FALSE</definedName>
    <definedName name="QBREPORTCOMPARECOL_TRIPUNBILLEDMILES" localSheetId="1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5">FALSE</definedName>
    <definedName name="QBREPORTCOMPARECOL_YTD" localSheetId="6">FALSE</definedName>
    <definedName name="QBREPORTCOMPARECOL_YTD" localSheetId="0">FALSE</definedName>
    <definedName name="QBREPORTCOMPARECOL_YTD" localSheetId="1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5">FALSE</definedName>
    <definedName name="QBREPORTCOMPARECOL_YTDBUDGET" localSheetId="6">FALSE</definedName>
    <definedName name="QBREPORTCOMPARECOL_YTDBUDGET" localSheetId="0">FALSE</definedName>
    <definedName name="QBREPORTCOMPARECOL_YTDBUDGET" localSheetId="1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5">FALSE</definedName>
    <definedName name="QBREPORTCOMPARECOL_YTDPCT" localSheetId="6">FALSE</definedName>
    <definedName name="QBREPORTCOMPARECOL_YTDPCT" localSheetId="0">FALSE</definedName>
    <definedName name="QBREPORTCOMPARECOL_YTDPCT" localSheetId="1">FALSE</definedName>
    <definedName name="QBREPORTROWAXIS" localSheetId="4">11</definedName>
    <definedName name="QBREPORTROWAXIS" localSheetId="3">11</definedName>
    <definedName name="QBREPORTROWAXIS" localSheetId="2">11</definedName>
    <definedName name="QBREPORTROWAXIS" localSheetId="5">11</definedName>
    <definedName name="QBREPORTROWAXIS" localSheetId="6">11</definedName>
    <definedName name="QBREPORTROWAXIS" localSheetId="0">11</definedName>
    <definedName name="QBREPORTROWAXIS" localSheetId="1">11</definedName>
    <definedName name="QBREPORTSUBCOLAXIS" localSheetId="4">0</definedName>
    <definedName name="QBREPORTSUBCOLAXIS" localSheetId="3">0</definedName>
    <definedName name="QBREPORTSUBCOLAXIS" localSheetId="2">0</definedName>
    <definedName name="QBREPORTSUBCOLAXIS" localSheetId="5">0</definedName>
    <definedName name="QBREPORTSUBCOLAXIS" localSheetId="6">0</definedName>
    <definedName name="QBREPORTSUBCOLAXIS" localSheetId="0">0</definedName>
    <definedName name="QBREPORTSUBCOLAXIS" localSheetId="1">0</definedName>
    <definedName name="QBREPORTTYPE" localSheetId="4">0</definedName>
    <definedName name="QBREPORTTYPE" localSheetId="3">0</definedName>
    <definedName name="QBREPORTTYPE" localSheetId="2">0</definedName>
    <definedName name="QBREPORTTYPE" localSheetId="5">0</definedName>
    <definedName name="QBREPORTTYPE" localSheetId="6">0</definedName>
    <definedName name="QBREPORTTYPE" localSheetId="0">0</definedName>
    <definedName name="QBREPORTTYPE" localSheetId="1">0</definedName>
    <definedName name="QBROWHEADERS" localSheetId="4">7</definedName>
    <definedName name="QBROWHEADERS" localSheetId="3">7</definedName>
    <definedName name="QBROWHEADERS" localSheetId="2">7</definedName>
    <definedName name="QBROWHEADERS" localSheetId="5">7</definedName>
    <definedName name="QBROWHEADERS" localSheetId="6">7</definedName>
    <definedName name="QBROWHEADERS" localSheetId="0">7</definedName>
    <definedName name="QBROWHEADERS" localSheetId="1">7</definedName>
    <definedName name="QBSTARTDATE" localSheetId="4">20130101</definedName>
    <definedName name="QBSTARTDATE" localSheetId="3">20130101</definedName>
    <definedName name="QBSTARTDATE" localSheetId="2">20130101</definedName>
    <definedName name="QBSTARTDATE" localSheetId="5">20130101</definedName>
    <definedName name="QBSTARTDATE" localSheetId="6">20130101</definedName>
    <definedName name="QBSTARTDATE" localSheetId="0">20130101</definedName>
    <definedName name="QBSTARTDATE" localSheetId="1">20130101</definedName>
    <definedName name="responsibilities" localSheetId="4">#REF!</definedName>
    <definedName name="responsibilities" localSheetId="3">#REF!</definedName>
    <definedName name="responsibilities" localSheetId="5">#REF!</definedName>
    <definedName name="responsibilities" localSheetId="6">#REF!</definedName>
    <definedName name="responsibilities" localSheetId="0">#REF!</definedName>
    <definedName name="responsibilities" localSheetId="1">#REF!</definedName>
    <definedName name="responsibilities" localSheetId="9">#REF!</definedName>
    <definedName name="responsibilities" localSheetId="10">#REF!</definedName>
    <definedName name="responsibilities">#REF!</definedName>
    <definedName name="Z_26970E85_F451_48C4_9FB7_5A971F947657_.wvu.PrintArea" localSheetId="9" hidden="1">'Pool Attendents'!$A$3:$O$16</definedName>
    <definedName name="Z_2B1E431D_FA27_4022_97FD_4A4D3C1998A5_.wvu.PrintArea" localSheetId="9">'Pool Attendents'!$A$1:$O$2</definedName>
    <definedName name="Z_395EDE44_0A7F_42B1_A584_AD2DA9015144_.wvu.Cols" localSheetId="9">'Pool Attendents'!$C:$N</definedName>
    <definedName name="Z_395EDE44_0A7F_42B1_A584_AD2DA9015144_.wvu.PrintArea" localSheetId="9">'Pool Attendents'!$A$1:$O$2</definedName>
    <definedName name="Z_6C2DD7B3_3250_4669_B030_71A61120EA31_.wvu.PrintArea" localSheetId="9">'Pool Attendents'!$A$1:$O$2</definedName>
    <definedName name="Z_869B676D_37B2_4208_86A6_70E31682ADA7_.wvu.PrintArea" localSheetId="9" hidden="1">'Pool Attendents'!$A$3:$O$16</definedName>
    <definedName name="Z_869B676D_37B2_4208_86A6_70E31682ADA7_.wvu.PrintTitles" localSheetId="4" hidden="1">'2022 Budget'!$A:$G,'2022 Budget'!$7:$7</definedName>
    <definedName name="Z_869B676D_37B2_4208_86A6_70E31682ADA7_.wvu.PrintTitles" localSheetId="3" hidden="1">'2023 Budget'!$A:$G,'2023 Budget'!$7:$7</definedName>
    <definedName name="Z_869B676D_37B2_4208_86A6_70E31682ADA7_.wvu.PrintTitles" localSheetId="2" hidden="1">'2023 Forecast'!$A:$G,'2023 Forecast'!$7:$7</definedName>
    <definedName name="Z_869B676D_37B2_4208_86A6_70E31682ADA7_.wvu.PrintTitles" localSheetId="5" hidden="1">'2024 Budget'!$A:$G,'2024 Budget'!$7:$7</definedName>
    <definedName name="Z_869B676D_37B2_4208_86A6_70E31682ADA7_.wvu.PrintTitles" localSheetId="6" hidden="1">'2025 Budget'!$A:$G,'2025 Budget'!$7:$7</definedName>
    <definedName name="Z_869B676D_37B2_4208_86A6_70E31682ADA7_.wvu.PrintTitles" localSheetId="0" hidden="1">'2025 Forecast'!$A:$G,'2025 Forecast'!$7:$7</definedName>
    <definedName name="Z_869B676D_37B2_4208_86A6_70E31682ADA7_.wvu.PrintTitles" localSheetId="1" hidden="1">'2026 Budget'!$A:$G,'2026 Budget'!$7:$7</definedName>
    <definedName name="Z_869B676D_37B2_4208_86A6_70E31682ADA7_.wvu.Rows" localSheetId="4" hidden="1">'2022 Budget'!$1:$5</definedName>
    <definedName name="Z_869B676D_37B2_4208_86A6_70E31682ADA7_.wvu.Rows" localSheetId="3" hidden="1">'2023 Budget'!$1:$5</definedName>
    <definedName name="Z_869B676D_37B2_4208_86A6_70E31682ADA7_.wvu.Rows" localSheetId="2" hidden="1">'2023 Forecast'!$1:$5</definedName>
    <definedName name="Z_869B676D_37B2_4208_86A6_70E31682ADA7_.wvu.Rows" localSheetId="5" hidden="1">'2024 Budget'!$1:$5</definedName>
    <definedName name="Z_869B676D_37B2_4208_86A6_70E31682ADA7_.wvu.Rows" localSheetId="6" hidden="1">'2025 Budget'!$1:$5</definedName>
    <definedName name="Z_869B676D_37B2_4208_86A6_70E31682ADA7_.wvu.Rows" localSheetId="0" hidden="1">'2025 Forecast'!$1:$5</definedName>
    <definedName name="Z_869B676D_37B2_4208_86A6_70E31682ADA7_.wvu.Rows" localSheetId="1" hidden="1">'2026 Budget'!$1:$5</definedName>
    <definedName name="Z_9EE97662_2FE1_4C74_97EE_22F49F81E1CE_.wvu.PrintArea" localSheetId="9" hidden="1">'Pool Attendents'!$A$3:$O$16</definedName>
    <definedName name="Z_9EE97662_2FE1_4C74_97EE_22F49F81E1CE_.wvu.PrintTitles" localSheetId="4" hidden="1">'2022 Budget'!$A:$G,'2022 Budget'!$7:$7</definedName>
    <definedName name="Z_9EE97662_2FE1_4C74_97EE_22F49F81E1CE_.wvu.PrintTitles" localSheetId="3" hidden="1">'2023 Budget'!$A:$G,'2023 Budget'!$7:$7</definedName>
    <definedName name="Z_9EE97662_2FE1_4C74_97EE_22F49F81E1CE_.wvu.PrintTitles" localSheetId="2" hidden="1">'2023 Forecast'!$A:$G,'2023 Forecast'!$7:$7</definedName>
    <definedName name="Z_9EE97662_2FE1_4C74_97EE_22F49F81E1CE_.wvu.PrintTitles" localSheetId="5" hidden="1">'2024 Budget'!$A:$G,'2024 Budget'!$7:$7</definedName>
    <definedName name="Z_9EE97662_2FE1_4C74_97EE_22F49F81E1CE_.wvu.PrintTitles" localSheetId="6" hidden="1">'2025 Budget'!$A:$G,'2025 Budget'!$7:$7</definedName>
    <definedName name="Z_9EE97662_2FE1_4C74_97EE_22F49F81E1CE_.wvu.PrintTitles" localSheetId="0" hidden="1">'2025 Forecast'!$A:$G,'2025 Forecast'!$7:$7</definedName>
    <definedName name="Z_9EE97662_2FE1_4C74_97EE_22F49F81E1CE_.wvu.PrintTitles" localSheetId="1" hidden="1">'2026 Budget'!$A:$G,'2026 Budget'!$7:$7</definedName>
    <definedName name="Z_9EE97662_2FE1_4C74_97EE_22F49F81E1CE_.wvu.Rows" localSheetId="4" hidden="1">'2022 Budget'!$1:$5</definedName>
    <definedName name="Z_9EE97662_2FE1_4C74_97EE_22F49F81E1CE_.wvu.Rows" localSheetId="3" hidden="1">'2023 Budget'!$1:$5</definedName>
    <definedName name="Z_9EE97662_2FE1_4C74_97EE_22F49F81E1CE_.wvu.Rows" localSheetId="2" hidden="1">'2023 Forecast'!$1:$5</definedName>
    <definedName name="Z_9EE97662_2FE1_4C74_97EE_22F49F81E1CE_.wvu.Rows" localSheetId="5" hidden="1">'2024 Budget'!$1:$5</definedName>
    <definedName name="Z_9EE97662_2FE1_4C74_97EE_22F49F81E1CE_.wvu.Rows" localSheetId="6" hidden="1">'2025 Budget'!$1:$5</definedName>
    <definedName name="Z_9EE97662_2FE1_4C74_97EE_22F49F81E1CE_.wvu.Rows" localSheetId="0" hidden="1">'2025 Forecast'!$1:$5</definedName>
    <definedName name="Z_9EE97662_2FE1_4C74_97EE_22F49F81E1CE_.wvu.Rows" localSheetId="1" hidden="1">'2026 Budget'!$1:$5</definedName>
    <definedName name="Z_B0450467_242A_43D8_9599_7425133E650A_.wvu.Cols" localSheetId="9">'Pool Attendents'!$C:$N</definedName>
    <definedName name="Z_B0450467_242A_43D8_9599_7425133E650A_.wvu.PrintArea" localSheetId="9">'Pool Attendents'!$A$1:$O$2</definedName>
    <definedName name="Z_BB4874A5_F329_4AB3_AA25_CF1EC7EC3723_.wvu.PrintArea" localSheetId="9" hidden="1">'Pool Attendents'!$A$3:$O$16</definedName>
    <definedName name="Z_DE3CCF18_A635_4B17_BC08_1FFC3A13C601_.wvu.PrintArea" localSheetId="9">'Pool Attendents'!$A$1:$O$2</definedName>
  </definedNames>
  <calcPr calcId="191029"/>
  <customWorkbookViews>
    <customWorkbookView name="Matt Bach - Personal View" guid="{9EE97662-2FE1-4C74-97EE-22F49F81E1CE}" mergeInterval="0" personalView="1" maximized="1" windowWidth="1904" windowHeight="878" activeSheetId="14"/>
    <customWorkbookView name="t b - Personal View" guid="{869B676D-37B2-4208-86A6-70E31682ADA7}" mergeInterval="0" personalView="1" maximized="1" xWindow="-8" yWindow="-8" windowWidth="1382" windowHeight="7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31" l="1"/>
  <c r="I154" i="31"/>
  <c r="M12" i="32"/>
  <c r="I127" i="32"/>
  <c r="K95" i="32"/>
  <c r="I95" i="32"/>
  <c r="K94" i="32"/>
  <c r="I94" i="32"/>
  <c r="K93" i="32"/>
  <c r="I93" i="32"/>
  <c r="K92" i="32"/>
  <c r="I92" i="32"/>
  <c r="K91" i="32"/>
  <c r="I91" i="32"/>
  <c r="K86" i="32"/>
  <c r="I86" i="32"/>
  <c r="K85" i="32"/>
  <c r="I85" i="32"/>
  <c r="K84" i="32"/>
  <c r="I84" i="32"/>
  <c r="K83" i="32"/>
  <c r="I83" i="32"/>
  <c r="K82" i="32"/>
  <c r="I82" i="32"/>
  <c r="K77" i="32"/>
  <c r="I77" i="32"/>
  <c r="K76" i="32"/>
  <c r="I76" i="32"/>
  <c r="K75" i="32"/>
  <c r="I75" i="32"/>
  <c r="K74" i="32"/>
  <c r="I74" i="32"/>
  <c r="K73" i="32"/>
  <c r="I73" i="32"/>
  <c r="K70" i="32"/>
  <c r="I70" i="32"/>
  <c r="K69" i="32"/>
  <c r="I69" i="32"/>
  <c r="K68" i="32"/>
  <c r="I68" i="32"/>
  <c r="K67" i="32"/>
  <c r="I67" i="32"/>
  <c r="K65" i="32"/>
  <c r="I65" i="32"/>
  <c r="K64" i="32"/>
  <c r="I64" i="32"/>
  <c r="K59" i="32"/>
  <c r="I59" i="32"/>
  <c r="K58" i="32"/>
  <c r="I58" i="32"/>
  <c r="K57" i="32"/>
  <c r="I57" i="32"/>
  <c r="K56" i="32"/>
  <c r="I56" i="32"/>
  <c r="K55" i="32"/>
  <c r="I55" i="32"/>
  <c r="K54" i="32"/>
  <c r="I54" i="32"/>
  <c r="K53" i="32"/>
  <c r="I53" i="32"/>
  <c r="K52" i="32"/>
  <c r="I52" i="32"/>
  <c r="K47" i="32"/>
  <c r="I47" i="32"/>
  <c r="K46" i="32"/>
  <c r="I46" i="32"/>
  <c r="K45" i="32"/>
  <c r="I45" i="32"/>
  <c r="K44" i="32"/>
  <c r="I44" i="32"/>
  <c r="K43" i="32"/>
  <c r="I43" i="32"/>
  <c r="K42" i="32"/>
  <c r="I42" i="32"/>
  <c r="K41" i="32"/>
  <c r="I41" i="32"/>
  <c r="K36" i="32"/>
  <c r="I36" i="32"/>
  <c r="K35" i="32"/>
  <c r="I35" i="32"/>
  <c r="K34" i="32"/>
  <c r="I34" i="32"/>
  <c r="K33" i="32"/>
  <c r="I33" i="32"/>
  <c r="K32" i="32"/>
  <c r="I32" i="32"/>
  <c r="K31" i="32"/>
  <c r="I31" i="32"/>
  <c r="K30" i="32"/>
  <c r="I30" i="32"/>
  <c r="K29" i="32"/>
  <c r="I29" i="32"/>
  <c r="K28" i="32"/>
  <c r="I28" i="32"/>
  <c r="K27" i="32"/>
  <c r="I27" i="32"/>
  <c r="K26" i="32"/>
  <c r="I26" i="32"/>
  <c r="K25" i="32"/>
  <c r="I25" i="32"/>
  <c r="K20" i="32"/>
  <c r="I20" i="32"/>
  <c r="K19" i="32"/>
  <c r="I19" i="32"/>
  <c r="K18" i="32"/>
  <c r="I18" i="32"/>
  <c r="K17" i="32"/>
  <c r="I17" i="32"/>
  <c r="K13" i="32"/>
  <c r="I13" i="32"/>
  <c r="K12" i="32"/>
  <c r="I12" i="32"/>
  <c r="K11" i="32"/>
  <c r="I11" i="32"/>
  <c r="AD20" i="32"/>
  <c r="AD30" i="32"/>
  <c r="AE30" i="32" s="1"/>
  <c r="AC30" i="32"/>
  <c r="AD83" i="32"/>
  <c r="AH88" i="32"/>
  <c r="AG88" i="32"/>
  <c r="AD56" i="32"/>
  <c r="AE146" i="32"/>
  <c r="AE145" i="32"/>
  <c r="AE144" i="32"/>
  <c r="AE143" i="32"/>
  <c r="AE142" i="32"/>
  <c r="AE141" i="32"/>
  <c r="AE140" i="32"/>
  <c r="AE139" i="32"/>
  <c r="AE120" i="32"/>
  <c r="AE119" i="32"/>
  <c r="AE113" i="32"/>
  <c r="AE107" i="32"/>
  <c r="AE106" i="32"/>
  <c r="AE105" i="32"/>
  <c r="AE95" i="32"/>
  <c r="AE94" i="32"/>
  <c r="AE93" i="32"/>
  <c r="AE92" i="32"/>
  <c r="AE97" i="32" s="1"/>
  <c r="AE91" i="32"/>
  <c r="AE86" i="32"/>
  <c r="AE85" i="32"/>
  <c r="AE84" i="32"/>
  <c r="AE83" i="32"/>
  <c r="AE88" i="32" s="1"/>
  <c r="AE82" i="32"/>
  <c r="AE77" i="32"/>
  <c r="AE76" i="32"/>
  <c r="AE75" i="32"/>
  <c r="AE74" i="32"/>
  <c r="AE73" i="32"/>
  <c r="AE70" i="32"/>
  <c r="AE69" i="32"/>
  <c r="AE68" i="32"/>
  <c r="AE67" i="32"/>
  <c r="AE65" i="32"/>
  <c r="AE64" i="32"/>
  <c r="AE59" i="32"/>
  <c r="AE58" i="32"/>
  <c r="AE57" i="32"/>
  <c r="AE56" i="32"/>
  <c r="AE55" i="32"/>
  <c r="AE54" i="32"/>
  <c r="AE53" i="32"/>
  <c r="AE52" i="32"/>
  <c r="AE47" i="32"/>
  <c r="AE46" i="32"/>
  <c r="AE45" i="32"/>
  <c r="AE44" i="32"/>
  <c r="AE43" i="32"/>
  <c r="AE42" i="32"/>
  <c r="AE41" i="32"/>
  <c r="AE36" i="32"/>
  <c r="AE35" i="32"/>
  <c r="AE34" i="32"/>
  <c r="AE33" i="32"/>
  <c r="AE32" i="32"/>
  <c r="AE31" i="32"/>
  <c r="AE29" i="32"/>
  <c r="AE28" i="32"/>
  <c r="AE27" i="32"/>
  <c r="AE26" i="32"/>
  <c r="AE25" i="32"/>
  <c r="AE20" i="32"/>
  <c r="AE19" i="32"/>
  <c r="AE18" i="32"/>
  <c r="AE17" i="32"/>
  <c r="AE13" i="32"/>
  <c r="AE11" i="32"/>
  <c r="AE12" i="32"/>
  <c r="AH38" i="32"/>
  <c r="AD12" i="32"/>
  <c r="AC12" i="32"/>
  <c r="AC148" i="32"/>
  <c r="AC107" i="32" s="1"/>
  <c r="AC108" i="32" s="1"/>
  <c r="AC127" i="32"/>
  <c r="AC122" i="32"/>
  <c r="AC97" i="32"/>
  <c r="AC88" i="32"/>
  <c r="AC72" i="32"/>
  <c r="AC79" i="32" s="1"/>
  <c r="AC61" i="32"/>
  <c r="AC59" i="32"/>
  <c r="AC49" i="32"/>
  <c r="AC38" i="32"/>
  <c r="AC15" i="32"/>
  <c r="AC22" i="32" s="1"/>
  <c r="AE148" i="32"/>
  <c r="AE127" i="32"/>
  <c r="AE122" i="32"/>
  <c r="AE15" i="32"/>
  <c r="AE22" i="32" s="1"/>
  <c r="AD148" i="32"/>
  <c r="AD128" i="32"/>
  <c r="AD130" i="32" s="1"/>
  <c r="AD122" i="32"/>
  <c r="AD108" i="32"/>
  <c r="AD97" i="32"/>
  <c r="AD88" i="32"/>
  <c r="AI88" i="32" s="1"/>
  <c r="AD73" i="32"/>
  <c r="AD72" i="32"/>
  <c r="AD61" i="32"/>
  <c r="AD49" i="32"/>
  <c r="AD38" i="32"/>
  <c r="AD15" i="32"/>
  <c r="AD22" i="32" s="1"/>
  <c r="G19" i="15"/>
  <c r="M13" i="15"/>
  <c r="N13" i="15" s="1"/>
  <c r="F13" i="15"/>
  <c r="E13" i="15"/>
  <c r="D13" i="15"/>
  <c r="G10" i="15"/>
  <c r="K10" i="15"/>
  <c r="I152" i="31"/>
  <c r="I153" i="31"/>
  <c r="S26" i="31"/>
  <c r="J18" i="31"/>
  <c r="K18" i="31" s="1"/>
  <c r="L18" i="31" s="1"/>
  <c r="M18" i="31" s="1"/>
  <c r="N18" i="31" s="1"/>
  <c r="O18" i="31" s="1"/>
  <c r="P18" i="31" s="1"/>
  <c r="Q18" i="31" s="1"/>
  <c r="R18" i="31" s="1"/>
  <c r="S18" i="31" s="1"/>
  <c r="T18" i="31" s="1"/>
  <c r="M36" i="32"/>
  <c r="L12" i="32"/>
  <c r="L141" i="31"/>
  <c r="S95" i="31"/>
  <c r="T95" i="31"/>
  <c r="K95" i="31"/>
  <c r="J95" i="31"/>
  <c r="K94" i="31"/>
  <c r="L94" i="31" s="1"/>
  <c r="M94" i="31" s="1"/>
  <c r="N94" i="31" s="1"/>
  <c r="O94" i="31" s="1"/>
  <c r="P94" i="31" s="1"/>
  <c r="Q94" i="31" s="1"/>
  <c r="R94" i="31" s="1"/>
  <c r="S94" i="31" s="1"/>
  <c r="T94" i="31" s="1"/>
  <c r="J94" i="31"/>
  <c r="I93" i="31"/>
  <c r="T84" i="31"/>
  <c r="S84" i="31"/>
  <c r="R84" i="31"/>
  <c r="L84" i="31"/>
  <c r="K84" i="31"/>
  <c r="J84" i="31"/>
  <c r="I84" i="31"/>
  <c r="T26" i="31"/>
  <c r="R26" i="31"/>
  <c r="Q26" i="31"/>
  <c r="K26" i="31"/>
  <c r="L26" i="31" s="1"/>
  <c r="M26" i="31" s="1"/>
  <c r="N26" i="31" s="1"/>
  <c r="O26" i="31" s="1"/>
  <c r="P26" i="31" s="1"/>
  <c r="J26" i="31"/>
  <c r="L93" i="32"/>
  <c r="M94" i="32"/>
  <c r="L85" i="32"/>
  <c r="M85" i="32" s="1"/>
  <c r="M34" i="32"/>
  <c r="L34" i="32"/>
  <c r="L32" i="32"/>
  <c r="M27" i="32"/>
  <c r="P107" i="32"/>
  <c r="P106" i="32"/>
  <c r="P105" i="32"/>
  <c r="P95" i="32"/>
  <c r="P94" i="32"/>
  <c r="P93" i="32"/>
  <c r="P92" i="32"/>
  <c r="P91" i="32"/>
  <c r="P86" i="32"/>
  <c r="P85" i="32"/>
  <c r="P83" i="32"/>
  <c r="P82" i="32"/>
  <c r="P77" i="32"/>
  <c r="P76" i="32"/>
  <c r="P75" i="32"/>
  <c r="P74" i="32"/>
  <c r="P73" i="32"/>
  <c r="P68" i="32"/>
  <c r="P65" i="32"/>
  <c r="P64" i="32"/>
  <c r="P59" i="32"/>
  <c r="P58" i="32"/>
  <c r="P57" i="32"/>
  <c r="P56" i="32"/>
  <c r="P55" i="32"/>
  <c r="P54" i="32"/>
  <c r="P53" i="32"/>
  <c r="P52" i="32"/>
  <c r="P47" i="32"/>
  <c r="P45" i="32"/>
  <c r="P44" i="32"/>
  <c r="P43" i="32"/>
  <c r="P42" i="32"/>
  <c r="P41" i="32"/>
  <c r="P36" i="32"/>
  <c r="P35" i="32"/>
  <c r="P33" i="32"/>
  <c r="P32" i="32"/>
  <c r="P31" i="32"/>
  <c r="P30" i="32"/>
  <c r="P28" i="32"/>
  <c r="P27" i="32"/>
  <c r="P26" i="32"/>
  <c r="P25" i="32"/>
  <c r="P20" i="32"/>
  <c r="P19" i="32"/>
  <c r="P18" i="32"/>
  <c r="P11" i="32"/>
  <c r="S146" i="35"/>
  <c r="R146" i="35"/>
  <c r="Q146" i="35"/>
  <c r="Q84" i="35" s="1"/>
  <c r="P146" i="35"/>
  <c r="O146" i="35"/>
  <c r="N146" i="35"/>
  <c r="M146" i="35"/>
  <c r="M84" i="35" s="1"/>
  <c r="L146" i="35"/>
  <c r="J146" i="35"/>
  <c r="I146" i="35"/>
  <c r="I84" i="35" s="1"/>
  <c r="T144" i="35"/>
  <c r="T146" i="35" s="1"/>
  <c r="I152" i="35" s="1"/>
  <c r="H144" i="35"/>
  <c r="G144" i="35"/>
  <c r="Q143" i="35"/>
  <c r="H143" i="35"/>
  <c r="G143" i="35"/>
  <c r="H142" i="35"/>
  <c r="G142" i="35"/>
  <c r="H141" i="35"/>
  <c r="G141" i="35"/>
  <c r="H140" i="35"/>
  <c r="G140" i="35"/>
  <c r="H139" i="35"/>
  <c r="G139" i="35"/>
  <c r="H138" i="35"/>
  <c r="G138" i="35"/>
  <c r="K137" i="35"/>
  <c r="K146" i="35" s="1"/>
  <c r="K106" i="35" s="1"/>
  <c r="K107" i="35" s="1"/>
  <c r="H137" i="35"/>
  <c r="G137" i="35"/>
  <c r="F136" i="35"/>
  <c r="H132" i="35"/>
  <c r="U131" i="35"/>
  <c r="S131" i="35"/>
  <c r="I130" i="35"/>
  <c r="J130" i="35" s="1"/>
  <c r="K130" i="35" s="1"/>
  <c r="L130" i="35" s="1"/>
  <c r="G129" i="35"/>
  <c r="V120" i="35"/>
  <c r="H120" i="35"/>
  <c r="V119" i="35"/>
  <c r="H119" i="35"/>
  <c r="W118" i="35"/>
  <c r="V118" i="35"/>
  <c r="U118" i="35"/>
  <c r="T118" i="35"/>
  <c r="S118" i="35"/>
  <c r="R118" i="35"/>
  <c r="Q118" i="35"/>
  <c r="P118" i="35"/>
  <c r="O118" i="35"/>
  <c r="N118" i="35"/>
  <c r="M118" i="35"/>
  <c r="L118" i="35"/>
  <c r="K118" i="35"/>
  <c r="J118" i="35"/>
  <c r="I118" i="35"/>
  <c r="V112" i="35"/>
  <c r="T107" i="35"/>
  <c r="M107" i="35"/>
  <c r="L107" i="35"/>
  <c r="D107" i="35"/>
  <c r="V106" i="35"/>
  <c r="T106" i="35"/>
  <c r="S106" i="35"/>
  <c r="S107" i="35" s="1"/>
  <c r="Q106" i="35"/>
  <c r="Q107" i="35" s="1"/>
  <c r="P106" i="35"/>
  <c r="P107" i="35" s="1"/>
  <c r="O106" i="35"/>
  <c r="O107" i="35" s="1"/>
  <c r="M106" i="35"/>
  <c r="L106" i="35"/>
  <c r="I106" i="35"/>
  <c r="I107" i="35" s="1"/>
  <c r="V105" i="35"/>
  <c r="W105" i="35" s="1"/>
  <c r="U105" i="35"/>
  <c r="E105" i="35"/>
  <c r="V104" i="35"/>
  <c r="U104" i="35"/>
  <c r="E104" i="35"/>
  <c r="D103" i="35"/>
  <c r="C102" i="35"/>
  <c r="C98" i="35"/>
  <c r="D96" i="35"/>
  <c r="V94" i="35"/>
  <c r="S94" i="35"/>
  <c r="O94" i="35"/>
  <c r="N94" i="35" s="1"/>
  <c r="U94" i="35" s="1"/>
  <c r="E94" i="35"/>
  <c r="V93" i="35"/>
  <c r="W93" i="35" s="1"/>
  <c r="U93" i="35"/>
  <c r="E93" i="35"/>
  <c r="V92" i="35"/>
  <c r="K92" i="35"/>
  <c r="J92" i="35"/>
  <c r="I92" i="35"/>
  <c r="E92" i="35"/>
  <c r="V91" i="35"/>
  <c r="J91" i="35"/>
  <c r="E91" i="35"/>
  <c r="V90" i="35"/>
  <c r="U90" i="35"/>
  <c r="E90" i="35"/>
  <c r="D89" i="35"/>
  <c r="D87" i="35"/>
  <c r="V85" i="35"/>
  <c r="T85" i="35"/>
  <c r="S85" i="35"/>
  <c r="R85" i="35"/>
  <c r="Q85" i="35"/>
  <c r="P85" i="35"/>
  <c r="O85" i="35"/>
  <c r="N85" i="35"/>
  <c r="M85" i="35"/>
  <c r="L85" i="35"/>
  <c r="K85" i="35"/>
  <c r="J85" i="35"/>
  <c r="I85" i="35"/>
  <c r="E85" i="35"/>
  <c r="V84" i="35"/>
  <c r="T84" i="35"/>
  <c r="S84" i="35"/>
  <c r="P84" i="35"/>
  <c r="O84" i="35"/>
  <c r="L84" i="35"/>
  <c r="K84" i="35"/>
  <c r="E84" i="35"/>
  <c r="V83" i="35"/>
  <c r="E83" i="35"/>
  <c r="V82" i="35"/>
  <c r="W82" i="35" s="1"/>
  <c r="U82" i="35"/>
  <c r="E82" i="35"/>
  <c r="V81" i="35"/>
  <c r="I81" i="35"/>
  <c r="J81" i="35" s="1"/>
  <c r="E81" i="35"/>
  <c r="D80" i="35"/>
  <c r="D78" i="35"/>
  <c r="V76" i="35"/>
  <c r="U76" i="35"/>
  <c r="E76" i="35"/>
  <c r="V75" i="35"/>
  <c r="U75" i="35"/>
  <c r="E75" i="35"/>
  <c r="V74" i="35"/>
  <c r="U74" i="35"/>
  <c r="E74" i="35"/>
  <c r="V73" i="35"/>
  <c r="U73" i="35"/>
  <c r="E73" i="35"/>
  <c r="V72" i="35"/>
  <c r="U72" i="35"/>
  <c r="E72" i="35"/>
  <c r="F71" i="35"/>
  <c r="V69" i="35"/>
  <c r="T69" i="35"/>
  <c r="T83" i="35" s="1"/>
  <c r="S69" i="35"/>
  <c r="S83" i="35" s="1"/>
  <c r="R69" i="35"/>
  <c r="Q69" i="35"/>
  <c r="P69" i="35"/>
  <c r="P83" i="35" s="1"/>
  <c r="O69" i="35"/>
  <c r="O83" i="35" s="1"/>
  <c r="N69" i="35"/>
  <c r="M69" i="35"/>
  <c r="L69" i="35"/>
  <c r="L83" i="35" s="1"/>
  <c r="K69" i="35"/>
  <c r="K83" i="35" s="1"/>
  <c r="J69" i="35"/>
  <c r="J83" i="35" s="1"/>
  <c r="I69" i="35"/>
  <c r="I83" i="35" s="1"/>
  <c r="F69" i="35"/>
  <c r="V68" i="35"/>
  <c r="F68" i="35"/>
  <c r="V67" i="35"/>
  <c r="W67" i="35" s="1"/>
  <c r="U67" i="35"/>
  <c r="F67" i="35"/>
  <c r="V66" i="35"/>
  <c r="T66" i="35"/>
  <c r="S66" i="35"/>
  <c r="R66" i="35"/>
  <c r="Q66" i="35"/>
  <c r="P66" i="35"/>
  <c r="O66" i="35"/>
  <c r="N66" i="35"/>
  <c r="M66" i="35"/>
  <c r="L66" i="35"/>
  <c r="K66" i="35"/>
  <c r="J66" i="35"/>
  <c r="I66" i="35"/>
  <c r="F66" i="35"/>
  <c r="W65" i="35"/>
  <c r="E65" i="35"/>
  <c r="V64" i="35"/>
  <c r="U64" i="35"/>
  <c r="D64" i="35"/>
  <c r="V63" i="35"/>
  <c r="U63" i="35"/>
  <c r="D63" i="35"/>
  <c r="C62" i="35"/>
  <c r="C60" i="35"/>
  <c r="V58" i="35"/>
  <c r="W58" i="35" s="1"/>
  <c r="U58" i="35"/>
  <c r="D58" i="35"/>
  <c r="V57" i="35"/>
  <c r="W57" i="35" s="1"/>
  <c r="U57" i="35"/>
  <c r="V56" i="35"/>
  <c r="W56" i="35" s="1"/>
  <c r="U56" i="35"/>
  <c r="D56" i="35"/>
  <c r="V55" i="35"/>
  <c r="W55" i="35" s="1"/>
  <c r="U55" i="35"/>
  <c r="D55" i="35"/>
  <c r="V54" i="35"/>
  <c r="W54" i="35" s="1"/>
  <c r="U54" i="35"/>
  <c r="D54" i="35"/>
  <c r="V53" i="35"/>
  <c r="J53" i="35"/>
  <c r="J60" i="35" s="1"/>
  <c r="I53" i="35"/>
  <c r="D53" i="35"/>
  <c r="V52" i="35"/>
  <c r="W52" i="35" s="1"/>
  <c r="U52" i="35"/>
  <c r="D52" i="35"/>
  <c r="V51" i="35"/>
  <c r="U51" i="35"/>
  <c r="D51" i="35"/>
  <c r="C50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C48" i="35"/>
  <c r="V46" i="35"/>
  <c r="U46" i="35"/>
  <c r="D46" i="35"/>
  <c r="V45" i="35"/>
  <c r="U45" i="35"/>
  <c r="D45" i="35"/>
  <c r="V44" i="35"/>
  <c r="W44" i="35" s="1"/>
  <c r="U44" i="35"/>
  <c r="D44" i="35"/>
  <c r="V43" i="35"/>
  <c r="W43" i="35" s="1"/>
  <c r="U43" i="35"/>
  <c r="D43" i="35"/>
  <c r="V42" i="35"/>
  <c r="U42" i="35"/>
  <c r="D42" i="35"/>
  <c r="V41" i="35"/>
  <c r="U41" i="35"/>
  <c r="U48" i="35" s="1"/>
  <c r="D41" i="35"/>
  <c r="C40" i="35"/>
  <c r="C38" i="35"/>
  <c r="V36" i="35"/>
  <c r="W36" i="35" s="1"/>
  <c r="U36" i="35"/>
  <c r="D36" i="35"/>
  <c r="V35" i="35"/>
  <c r="W35" i="35" s="1"/>
  <c r="U35" i="35"/>
  <c r="D35" i="35"/>
  <c r="V34" i="35"/>
  <c r="U34" i="35"/>
  <c r="P34" i="32" s="1"/>
  <c r="D34" i="35"/>
  <c r="V33" i="35"/>
  <c r="W33" i="35" s="1"/>
  <c r="U33" i="35"/>
  <c r="D33" i="35"/>
  <c r="V32" i="35"/>
  <c r="W32" i="35" s="1"/>
  <c r="U32" i="35"/>
  <c r="V31" i="35"/>
  <c r="W31" i="35" s="1"/>
  <c r="U31" i="35"/>
  <c r="D31" i="35"/>
  <c r="V30" i="35"/>
  <c r="W30" i="35" s="1"/>
  <c r="U30" i="35"/>
  <c r="D30" i="35"/>
  <c r="V29" i="35"/>
  <c r="D29" i="35"/>
  <c r="V28" i="35"/>
  <c r="W28" i="35" s="1"/>
  <c r="U28" i="35"/>
  <c r="L28" i="35"/>
  <c r="D28" i="35"/>
  <c r="V27" i="35"/>
  <c r="W27" i="35" s="1"/>
  <c r="U27" i="35"/>
  <c r="D27" i="35"/>
  <c r="V26" i="35"/>
  <c r="Q26" i="35"/>
  <c r="D26" i="35"/>
  <c r="V25" i="35"/>
  <c r="W25" i="35" s="1"/>
  <c r="U25" i="35"/>
  <c r="D25" i="35"/>
  <c r="C24" i="35"/>
  <c r="C22" i="35"/>
  <c r="V20" i="35"/>
  <c r="D20" i="35"/>
  <c r="V19" i="35"/>
  <c r="W19" i="35" s="1"/>
  <c r="U19" i="35"/>
  <c r="D19" i="35"/>
  <c r="V18" i="35"/>
  <c r="W18" i="35" s="1"/>
  <c r="U18" i="35"/>
  <c r="D18" i="35"/>
  <c r="V17" i="35"/>
  <c r="H17" i="35"/>
  <c r="D17" i="35"/>
  <c r="D15" i="35"/>
  <c r="V13" i="35"/>
  <c r="E13" i="35"/>
  <c r="AB12" i="35"/>
  <c r="AA12" i="35"/>
  <c r="Z12" i="35"/>
  <c r="V12" i="35"/>
  <c r="H12" i="35"/>
  <c r="E12" i="35"/>
  <c r="V11" i="35"/>
  <c r="W11" i="35" s="1"/>
  <c r="U11" i="35"/>
  <c r="E11" i="35"/>
  <c r="D10" i="35"/>
  <c r="C9" i="35"/>
  <c r="B8" i="35"/>
  <c r="G5" i="35"/>
  <c r="AE38" i="32" l="1"/>
  <c r="AE72" i="32"/>
  <c r="AC99" i="32"/>
  <c r="AE61" i="32"/>
  <c r="AE49" i="32"/>
  <c r="AE108" i="32"/>
  <c r="AE79" i="32"/>
  <c r="AC101" i="32"/>
  <c r="AC110" i="32" s="1"/>
  <c r="AC129" i="32"/>
  <c r="AC128" i="32" s="1"/>
  <c r="AC113" i="32" s="1"/>
  <c r="AE129" i="32"/>
  <c r="AE128" i="32" s="1"/>
  <c r="AD113" i="32"/>
  <c r="AD79" i="32"/>
  <c r="AD99" i="32" s="1"/>
  <c r="AD101" i="32" s="1"/>
  <c r="AD110" i="32" s="1"/>
  <c r="W94" i="35"/>
  <c r="I71" i="35"/>
  <c r="I78" i="35" s="1"/>
  <c r="V60" i="35"/>
  <c r="V15" i="35"/>
  <c r="V107" i="35"/>
  <c r="W74" i="35"/>
  <c r="V87" i="35"/>
  <c r="V22" i="35"/>
  <c r="K71" i="35"/>
  <c r="K78" i="35" s="1"/>
  <c r="S71" i="35"/>
  <c r="S78" i="35" s="1"/>
  <c r="W72" i="35"/>
  <c r="W76" i="35"/>
  <c r="R12" i="35"/>
  <c r="AC12" i="35"/>
  <c r="AD12" i="35" s="1"/>
  <c r="W73" i="35"/>
  <c r="O68" i="35"/>
  <c r="O71" i="35" s="1"/>
  <c r="O78" i="35" s="1"/>
  <c r="I13" i="35"/>
  <c r="J13" i="35" s="1"/>
  <c r="K13" i="35" s="1"/>
  <c r="L13" i="35" s="1"/>
  <c r="M13" i="35" s="1"/>
  <c r="N13" i="35" s="1"/>
  <c r="O13" i="35" s="1"/>
  <c r="P13" i="35" s="1"/>
  <c r="Q13" i="35" s="1"/>
  <c r="R13" i="35" s="1"/>
  <c r="S13" i="35" s="1"/>
  <c r="T13" i="35" s="1"/>
  <c r="J12" i="35"/>
  <c r="K12" i="35" s="1"/>
  <c r="L71" i="35"/>
  <c r="L78" i="35" s="1"/>
  <c r="T71" i="35"/>
  <c r="T78" i="35" s="1"/>
  <c r="P68" i="35"/>
  <c r="P71" i="35" s="1"/>
  <c r="P78" i="35" s="1"/>
  <c r="W75" i="35"/>
  <c r="W104" i="35"/>
  <c r="V122" i="35"/>
  <c r="H122" i="35"/>
  <c r="I17" i="35" s="1"/>
  <c r="O12" i="35"/>
  <c r="W34" i="35"/>
  <c r="W42" i="35"/>
  <c r="W46" i="35"/>
  <c r="W51" i="35"/>
  <c r="K53" i="35"/>
  <c r="U106" i="35"/>
  <c r="L12" i="35"/>
  <c r="W41" i="35"/>
  <c r="W45" i="35"/>
  <c r="W64" i="35"/>
  <c r="U66" i="35"/>
  <c r="P67" i="32" s="1"/>
  <c r="M83" i="35"/>
  <c r="M68" i="35"/>
  <c r="Q83" i="35"/>
  <c r="Q68" i="35"/>
  <c r="Q71" i="35" s="1"/>
  <c r="Q78" i="35" s="1"/>
  <c r="U69" i="35"/>
  <c r="P70" i="32" s="1"/>
  <c r="J71" i="35"/>
  <c r="J78" i="35" s="1"/>
  <c r="J96" i="35"/>
  <c r="K91" i="35"/>
  <c r="L92" i="35"/>
  <c r="M92" i="35" s="1"/>
  <c r="N92" i="35" s="1"/>
  <c r="O92" i="35" s="1"/>
  <c r="N20" i="35"/>
  <c r="N84" i="35"/>
  <c r="U84" i="35" s="1"/>
  <c r="W84" i="35" s="1"/>
  <c r="N106" i="35"/>
  <c r="N107" i="35" s="1"/>
  <c r="R84" i="35"/>
  <c r="R106" i="35"/>
  <c r="R107" i="35" s="1"/>
  <c r="V71" i="35"/>
  <c r="J87" i="35"/>
  <c r="K81" i="35"/>
  <c r="M130" i="35"/>
  <c r="V38" i="35"/>
  <c r="M12" i="35"/>
  <c r="I12" i="35"/>
  <c r="W63" i="35"/>
  <c r="N83" i="35"/>
  <c r="N68" i="35"/>
  <c r="N71" i="35" s="1"/>
  <c r="N78" i="35" s="1"/>
  <c r="R83" i="35"/>
  <c r="R68" i="35"/>
  <c r="R71" i="35" s="1"/>
  <c r="R78" i="35" s="1"/>
  <c r="U85" i="35"/>
  <c r="W85" i="35" s="1"/>
  <c r="I120" i="35"/>
  <c r="J120" i="35" s="1"/>
  <c r="K120" i="35" s="1"/>
  <c r="L120" i="35" s="1"/>
  <c r="M120" i="35" s="1"/>
  <c r="N120" i="35" s="1"/>
  <c r="O120" i="35" s="1"/>
  <c r="P120" i="35" s="1"/>
  <c r="Q120" i="35" s="1"/>
  <c r="R120" i="35" s="1"/>
  <c r="S120" i="35" s="1"/>
  <c r="T120" i="35" s="1"/>
  <c r="U120" i="35" s="1"/>
  <c r="U127" i="35"/>
  <c r="I127" i="35"/>
  <c r="J84" i="35"/>
  <c r="J106" i="35"/>
  <c r="J107" i="35" s="1"/>
  <c r="V48" i="35"/>
  <c r="Y48" i="35" s="1"/>
  <c r="I60" i="35"/>
  <c r="H146" i="35"/>
  <c r="I151" i="35" s="1"/>
  <c r="U26" i="35"/>
  <c r="W26" i="35" s="1"/>
  <c r="V96" i="35"/>
  <c r="W90" i="35"/>
  <c r="I87" i="35"/>
  <c r="I96" i="35"/>
  <c r="AE99" i="32" l="1"/>
  <c r="AE101" i="32" s="1"/>
  <c r="AE110" i="32" s="1"/>
  <c r="AE115" i="32" s="1"/>
  <c r="AC132" i="32"/>
  <c r="AC115" i="32"/>
  <c r="AE132" i="32"/>
  <c r="AD115" i="32"/>
  <c r="AD111" i="32"/>
  <c r="W48" i="35"/>
  <c r="W69" i="35"/>
  <c r="U83" i="35"/>
  <c r="W83" i="35" s="1"/>
  <c r="O15" i="35"/>
  <c r="W120" i="35"/>
  <c r="P120" i="32"/>
  <c r="I129" i="35"/>
  <c r="L81" i="35"/>
  <c r="K87" i="35"/>
  <c r="W106" i="35"/>
  <c r="W107" i="35" s="1"/>
  <c r="U107" i="35"/>
  <c r="Y107" i="35" s="1"/>
  <c r="R15" i="35"/>
  <c r="I15" i="35"/>
  <c r="I22" i="35" s="1"/>
  <c r="W66" i="35"/>
  <c r="L15" i="35"/>
  <c r="N12" i="35"/>
  <c r="M15" i="35"/>
  <c r="N130" i="35"/>
  <c r="P92" i="35"/>
  <c r="M71" i="35"/>
  <c r="M78" i="35" s="1"/>
  <c r="U68" i="35"/>
  <c r="L53" i="35"/>
  <c r="K60" i="35"/>
  <c r="U13" i="35"/>
  <c r="V78" i="35"/>
  <c r="L91" i="35"/>
  <c r="K96" i="35"/>
  <c r="K15" i="35"/>
  <c r="J15" i="35"/>
  <c r="P84" i="32" l="1"/>
  <c r="W68" i="35"/>
  <c r="W71" i="35" s="1"/>
  <c r="W78" i="35" s="1"/>
  <c r="P69" i="32"/>
  <c r="W13" i="35"/>
  <c r="P13" i="32"/>
  <c r="O130" i="35"/>
  <c r="M91" i="35"/>
  <c r="L96" i="35"/>
  <c r="M53" i="35"/>
  <c r="L60" i="35"/>
  <c r="Q92" i="35"/>
  <c r="V98" i="35"/>
  <c r="P12" i="35"/>
  <c r="N15" i="35"/>
  <c r="M81" i="35"/>
  <c r="L87" i="35"/>
  <c r="U71" i="35"/>
  <c r="I128" i="35"/>
  <c r="I29" i="35"/>
  <c r="Q12" i="35" l="1"/>
  <c r="P15" i="35"/>
  <c r="P130" i="35"/>
  <c r="I112" i="35"/>
  <c r="I132" i="35"/>
  <c r="J127" i="35" s="1"/>
  <c r="N81" i="35"/>
  <c r="M87" i="35"/>
  <c r="V100" i="35"/>
  <c r="V109" i="35" s="1"/>
  <c r="V114" i="35" s="1"/>
  <c r="V115" i="35" s="1"/>
  <c r="I38" i="35"/>
  <c r="I98" i="35" s="1"/>
  <c r="I100" i="35" s="1"/>
  <c r="I109" i="35" s="1"/>
  <c r="U78" i="35"/>
  <c r="Y78" i="35" s="1"/>
  <c r="Y71" i="35"/>
  <c r="M60" i="35"/>
  <c r="N53" i="35"/>
  <c r="M96" i="35"/>
  <c r="N91" i="35"/>
  <c r="R92" i="35"/>
  <c r="N60" i="35" l="1"/>
  <c r="O53" i="35"/>
  <c r="S92" i="35"/>
  <c r="I114" i="35"/>
  <c r="I119" i="35" s="1"/>
  <c r="I122" i="35" s="1"/>
  <c r="J17" i="35" s="1"/>
  <c r="J129" i="35"/>
  <c r="N96" i="35"/>
  <c r="O91" i="35"/>
  <c r="N87" i="35"/>
  <c r="O81" i="35"/>
  <c r="Q130" i="35"/>
  <c r="S12" i="35"/>
  <c r="Q15" i="35"/>
  <c r="R130" i="35" l="1"/>
  <c r="P91" i="35"/>
  <c r="O96" i="35"/>
  <c r="O87" i="35"/>
  <c r="P81" i="35"/>
  <c r="J22" i="35"/>
  <c r="S15" i="35"/>
  <c r="T12" i="35"/>
  <c r="T15" i="35" s="1"/>
  <c r="J128" i="35"/>
  <c r="J29" i="35"/>
  <c r="P53" i="35"/>
  <c r="O60" i="35"/>
  <c r="T92" i="35"/>
  <c r="U92" i="35" s="1"/>
  <c r="W92" i="35" s="1"/>
  <c r="T20" i="35"/>
  <c r="U20" i="35" s="1"/>
  <c r="W20" i="35" s="1"/>
  <c r="Q91" i="35" l="1"/>
  <c r="P96" i="35"/>
  <c r="Q53" i="35"/>
  <c r="P60" i="35"/>
  <c r="Q81" i="35"/>
  <c r="P87" i="35"/>
  <c r="U12" i="35"/>
  <c r="P12" i="32" s="1"/>
  <c r="S130" i="35"/>
  <c r="J112" i="35"/>
  <c r="J132" i="35"/>
  <c r="K127" i="35" s="1"/>
  <c r="J38" i="35"/>
  <c r="J98" i="35" s="1"/>
  <c r="J100" i="35" s="1"/>
  <c r="J109" i="35" s="1"/>
  <c r="J114" i="35" s="1"/>
  <c r="J119" i="35" s="1"/>
  <c r="J122" i="35" s="1"/>
  <c r="K17" i="35" s="1"/>
  <c r="K22" i="35" l="1"/>
  <c r="Q60" i="35"/>
  <c r="R53" i="35"/>
  <c r="W12" i="35"/>
  <c r="W15" i="35" s="1"/>
  <c r="AD13" i="35"/>
  <c r="U15" i="35"/>
  <c r="K129" i="35"/>
  <c r="T130" i="35"/>
  <c r="R81" i="35"/>
  <c r="Q87" i="35"/>
  <c r="Q96" i="35"/>
  <c r="R91" i="35"/>
  <c r="U130" i="35" l="1"/>
  <c r="Y15" i="35"/>
  <c r="K29" i="35"/>
  <c r="K128" i="35"/>
  <c r="R96" i="35"/>
  <c r="S91" i="35"/>
  <c r="R87" i="35"/>
  <c r="S81" i="35"/>
  <c r="R60" i="35"/>
  <c r="S53" i="35"/>
  <c r="K112" i="35" l="1"/>
  <c r="K132" i="35"/>
  <c r="L127" i="35" s="1"/>
  <c r="T53" i="35"/>
  <c r="S60" i="35"/>
  <c r="T81" i="35"/>
  <c r="S87" i="35"/>
  <c r="T91" i="35"/>
  <c r="S96" i="35"/>
  <c r="K38" i="35"/>
  <c r="K98" i="35" s="1"/>
  <c r="K100" i="35" s="1"/>
  <c r="K109" i="35" s="1"/>
  <c r="K114" i="35" s="1"/>
  <c r="K119" i="35" s="1"/>
  <c r="K122" i="35" s="1"/>
  <c r="L17" i="35" s="1"/>
  <c r="T96" i="35" l="1"/>
  <c r="U91" i="35"/>
  <c r="L129" i="35"/>
  <c r="T60" i="35"/>
  <c r="U53" i="35"/>
  <c r="L22" i="35"/>
  <c r="T87" i="35"/>
  <c r="U81" i="35"/>
  <c r="L29" i="35" l="1"/>
  <c r="L128" i="35"/>
  <c r="W91" i="35"/>
  <c r="W96" i="35" s="1"/>
  <c r="U96" i="35"/>
  <c r="Y96" i="35" s="1"/>
  <c r="U87" i="35"/>
  <c r="Y87" i="35" s="1"/>
  <c r="W81" i="35"/>
  <c r="W87" i="35" s="1"/>
  <c r="W53" i="35"/>
  <c r="W60" i="35" s="1"/>
  <c r="U60" i="35"/>
  <c r="Y60" i="35" s="1"/>
  <c r="L112" i="35" l="1"/>
  <c r="L132" i="35"/>
  <c r="M127" i="35" s="1"/>
  <c r="L38" i="35"/>
  <c r="L98" i="35" s="1"/>
  <c r="L100" i="35" s="1"/>
  <c r="L109" i="35" s="1"/>
  <c r="L114" i="35" l="1"/>
  <c r="L119" i="35" s="1"/>
  <c r="L122" i="35" s="1"/>
  <c r="M17" i="35" s="1"/>
  <c r="M22" i="35" s="1"/>
  <c r="M129" i="35"/>
  <c r="M29" i="35" l="1"/>
  <c r="M128" i="35"/>
  <c r="M112" i="35" l="1"/>
  <c r="M132" i="35"/>
  <c r="N127" i="35" s="1"/>
  <c r="M38" i="35"/>
  <c r="M98" i="35" s="1"/>
  <c r="M100" i="35" s="1"/>
  <c r="M109" i="35" s="1"/>
  <c r="M114" i="35" l="1"/>
  <c r="M119" i="35" s="1"/>
  <c r="M122" i="35" s="1"/>
  <c r="N17" i="35" s="1"/>
  <c r="N22" i="35" s="1"/>
  <c r="N129" i="35"/>
  <c r="N29" i="35" l="1"/>
  <c r="N38" i="35" s="1"/>
  <c r="N98" i="35" s="1"/>
  <c r="N100" i="35" s="1"/>
  <c r="N109" i="35" s="1"/>
  <c r="N128" i="35"/>
  <c r="N112" i="35" l="1"/>
  <c r="N114" i="35" s="1"/>
  <c r="N119" i="35" s="1"/>
  <c r="N122" i="35" s="1"/>
  <c r="O17" i="35" s="1"/>
  <c r="O22" i="35" s="1"/>
  <c r="N132" i="35"/>
  <c r="O127" i="35" s="1"/>
  <c r="O129" i="35" l="1"/>
  <c r="O29" i="35" l="1"/>
  <c r="O38" i="35" s="1"/>
  <c r="O98" i="35" s="1"/>
  <c r="O100" i="35" s="1"/>
  <c r="O109" i="35" s="1"/>
  <c r="O128" i="35"/>
  <c r="O112" i="35" l="1"/>
  <c r="O114" i="35" s="1"/>
  <c r="O119" i="35" s="1"/>
  <c r="O122" i="35" s="1"/>
  <c r="P17" i="35" s="1"/>
  <c r="P22" i="35" s="1"/>
  <c r="O132" i="35"/>
  <c r="P127" i="35" s="1"/>
  <c r="P129" i="35" l="1"/>
  <c r="P29" i="35" l="1"/>
  <c r="P38" i="35" s="1"/>
  <c r="P98" i="35" s="1"/>
  <c r="P100" i="35" s="1"/>
  <c r="P109" i="35" s="1"/>
  <c r="P128" i="35"/>
  <c r="P112" i="35" l="1"/>
  <c r="P114" i="35" s="1"/>
  <c r="P119" i="35" s="1"/>
  <c r="P122" i="35" s="1"/>
  <c r="Q17" i="35" s="1"/>
  <c r="Q22" i="35" s="1"/>
  <c r="P132" i="35"/>
  <c r="Q127" i="35" s="1"/>
  <c r="Q129" i="35" l="1"/>
  <c r="Q29" i="35" l="1"/>
  <c r="Q38" i="35" s="1"/>
  <c r="Q98" i="35" s="1"/>
  <c r="Q100" i="35" s="1"/>
  <c r="Q109" i="35" s="1"/>
  <c r="Q128" i="35"/>
  <c r="Q112" i="35" l="1"/>
  <c r="Q132" i="35"/>
  <c r="R127" i="35" s="1"/>
  <c r="Q114" i="35"/>
  <c r="Q119" i="35" s="1"/>
  <c r="Q122" i="35" s="1"/>
  <c r="R17" i="35" s="1"/>
  <c r="R22" i="35" s="1"/>
  <c r="R129" i="35" l="1"/>
  <c r="R29" i="35" l="1"/>
  <c r="R38" i="35" s="1"/>
  <c r="R98" i="35" s="1"/>
  <c r="R100" i="35" s="1"/>
  <c r="R109" i="35" s="1"/>
  <c r="R128" i="35"/>
  <c r="R112" i="35" l="1"/>
  <c r="R114" i="35" s="1"/>
  <c r="R119" i="35" s="1"/>
  <c r="R122" i="35" s="1"/>
  <c r="S17" i="35" s="1"/>
  <c r="S22" i="35" s="1"/>
  <c r="R132" i="35"/>
  <c r="S127" i="35" s="1"/>
  <c r="S129" i="35" l="1"/>
  <c r="S29" i="35" l="1"/>
  <c r="S38" i="35" s="1"/>
  <c r="S98" i="35" s="1"/>
  <c r="S100" i="35" s="1"/>
  <c r="S109" i="35" s="1"/>
  <c r="S128" i="35"/>
  <c r="S112" i="35" l="1"/>
  <c r="S114" i="35" s="1"/>
  <c r="S119" i="35" s="1"/>
  <c r="S122" i="35" s="1"/>
  <c r="T17" i="35" s="1"/>
  <c r="S132" i="35"/>
  <c r="T127" i="35" s="1"/>
  <c r="T22" i="35" l="1"/>
  <c r="U17" i="35"/>
  <c r="P17" i="32" s="1"/>
  <c r="T129" i="35"/>
  <c r="T29" i="35" l="1"/>
  <c r="T128" i="35"/>
  <c r="U129" i="35"/>
  <c r="W17" i="35"/>
  <c r="W22" i="35" s="1"/>
  <c r="U22" i="35"/>
  <c r="T112" i="35" l="1"/>
  <c r="U112" i="35" s="1"/>
  <c r="U128" i="35"/>
  <c r="U132" i="35" s="1"/>
  <c r="I153" i="35" s="1"/>
  <c r="T132" i="35"/>
  <c r="Y22" i="35"/>
  <c r="T38" i="35"/>
  <c r="T98" i="35" s="1"/>
  <c r="T100" i="35" s="1"/>
  <c r="T109" i="35" s="1"/>
  <c r="T114" i="35" s="1"/>
  <c r="T119" i="35" s="1"/>
  <c r="U29" i="35"/>
  <c r="P29" i="32" s="1"/>
  <c r="W112" i="35" l="1"/>
  <c r="P113" i="32"/>
  <c r="U119" i="35"/>
  <c r="P119" i="32" s="1"/>
  <c r="T122" i="35"/>
  <c r="W29" i="35"/>
  <c r="W38" i="35" s="1"/>
  <c r="W98" i="35" s="1"/>
  <c r="W100" i="35" s="1"/>
  <c r="W109" i="35" s="1"/>
  <c r="U38" i="35"/>
  <c r="U98" i="35" l="1"/>
  <c r="Y38" i="35"/>
  <c r="W119" i="35"/>
  <c r="W122" i="35" s="1"/>
  <c r="U122" i="35"/>
  <c r="I154" i="35" s="1"/>
  <c r="Y98" i="35" l="1"/>
  <c r="U100" i="35"/>
  <c r="Y100" i="35" l="1"/>
  <c r="U109" i="35"/>
  <c r="Y109" i="35" l="1"/>
  <c r="U114" i="35"/>
  <c r="Y114" i="35" l="1"/>
  <c r="W114" i="35"/>
  <c r="U123" i="35"/>
  <c r="U124" i="35" s="1"/>
  <c r="I128" i="32" l="1"/>
  <c r="I130" i="32" s="1"/>
  <c r="D46" i="31"/>
  <c r="V46" i="31"/>
  <c r="U46" i="31"/>
  <c r="O46" i="32"/>
  <c r="Q46" i="32" s="1"/>
  <c r="R7" i="29"/>
  <c r="P7" i="29"/>
  <c r="O7" i="29"/>
  <c r="M7" i="29"/>
  <c r="L7" i="29"/>
  <c r="J7" i="29"/>
  <c r="G56" i="29"/>
  <c r="G21" i="29"/>
  <c r="G17" i="29"/>
  <c r="G52" i="29"/>
  <c r="G13" i="29"/>
  <c r="C9" i="29"/>
  <c r="C8" i="29"/>
  <c r="I113" i="32" l="1"/>
  <c r="W46" i="31"/>
  <c r="J82" i="31" l="1"/>
  <c r="K82" i="31" s="1"/>
  <c r="L82" i="31" s="1"/>
  <c r="M82" i="31" s="1"/>
  <c r="N82" i="31" s="1"/>
  <c r="O82" i="31" s="1"/>
  <c r="P82" i="31" s="1"/>
  <c r="Q82" i="31" s="1"/>
  <c r="R82" i="31" s="1"/>
  <c r="S82" i="31" s="1"/>
  <c r="T82" i="31" s="1"/>
  <c r="H143" i="31"/>
  <c r="H142" i="31"/>
  <c r="H141" i="31"/>
  <c r="H140" i="31"/>
  <c r="H139" i="31"/>
  <c r="J92" i="31"/>
  <c r="K92" i="31" s="1"/>
  <c r="L92" i="31" s="1"/>
  <c r="M92" i="31" s="1"/>
  <c r="N92" i="31" s="1"/>
  <c r="O92" i="31" s="1"/>
  <c r="P92" i="31" s="1"/>
  <c r="Q92" i="31" s="1"/>
  <c r="R92" i="31" s="1"/>
  <c r="S92" i="31" s="1"/>
  <c r="T92" i="31" s="1"/>
  <c r="H145" i="31" l="1"/>
  <c r="L64" i="32"/>
  <c r="T70" i="31" l="1"/>
  <c r="S70" i="31"/>
  <c r="L70" i="31"/>
  <c r="K70" i="31"/>
  <c r="J70" i="31"/>
  <c r="I70" i="31"/>
  <c r="Q67" i="31"/>
  <c r="P67" i="31"/>
  <c r="O67" i="31"/>
  <c r="N67" i="31"/>
  <c r="M67" i="31"/>
  <c r="C19" i="15"/>
  <c r="I67" i="31" s="1"/>
  <c r="T85" i="31"/>
  <c r="I54" i="31"/>
  <c r="J54" i="31" s="1"/>
  <c r="K54" i="31" s="1"/>
  <c r="L54" i="31" s="1"/>
  <c r="M54" i="31" s="1"/>
  <c r="N54" i="31" s="1"/>
  <c r="O54" i="31" s="1"/>
  <c r="P54" i="31" s="1"/>
  <c r="Q54" i="31" s="1"/>
  <c r="R54" i="31" s="1"/>
  <c r="S54" i="31" s="1"/>
  <c r="T54" i="31" s="1"/>
  <c r="I131" i="31" l="1"/>
  <c r="G145" i="31"/>
  <c r="G144" i="31"/>
  <c r="G140" i="31"/>
  <c r="G139" i="31"/>
  <c r="G138" i="31"/>
  <c r="G130" i="31"/>
  <c r="D108" i="31"/>
  <c r="D104" i="31"/>
  <c r="C103" i="31"/>
  <c r="C99" i="31"/>
  <c r="D97" i="31"/>
  <c r="E95" i="31"/>
  <c r="E94" i="31"/>
  <c r="E93" i="31"/>
  <c r="E92" i="31"/>
  <c r="E91" i="31"/>
  <c r="D90" i="31"/>
  <c r="D88" i="31"/>
  <c r="E86" i="31"/>
  <c r="E85" i="31"/>
  <c r="E84" i="31"/>
  <c r="E83" i="31"/>
  <c r="E82" i="31"/>
  <c r="D81" i="31"/>
  <c r="D79" i="31"/>
  <c r="E77" i="31"/>
  <c r="E76" i="31"/>
  <c r="E75" i="31"/>
  <c r="E74" i="31"/>
  <c r="E73" i="31"/>
  <c r="F72" i="31"/>
  <c r="F70" i="31"/>
  <c r="F69" i="31"/>
  <c r="F68" i="31"/>
  <c r="F67" i="31"/>
  <c r="E66" i="31"/>
  <c r="D65" i="31"/>
  <c r="D64" i="31"/>
  <c r="C63" i="31"/>
  <c r="C61" i="31"/>
  <c r="D59" i="31"/>
  <c r="D57" i="31"/>
  <c r="D56" i="31"/>
  <c r="D55" i="31"/>
  <c r="D54" i="31"/>
  <c r="D53" i="31"/>
  <c r="D52" i="31"/>
  <c r="C51" i="31"/>
  <c r="C49" i="31"/>
  <c r="D47" i="31"/>
  <c r="D45" i="31"/>
  <c r="D44" i="31"/>
  <c r="D43" i="31"/>
  <c r="D42" i="31"/>
  <c r="D41" i="31"/>
  <c r="C40" i="31"/>
  <c r="C38" i="31"/>
  <c r="D36" i="31"/>
  <c r="D35" i="31"/>
  <c r="D34" i="31"/>
  <c r="D33" i="31"/>
  <c r="D31" i="31"/>
  <c r="D30" i="31"/>
  <c r="D29" i="31"/>
  <c r="D28" i="31"/>
  <c r="D27" i="31"/>
  <c r="D26" i="31"/>
  <c r="D25" i="31"/>
  <c r="C24" i="31"/>
  <c r="C22" i="31"/>
  <c r="D20" i="31"/>
  <c r="D19" i="31"/>
  <c r="D18" i="31"/>
  <c r="D17" i="31"/>
  <c r="D15" i="31"/>
  <c r="E13" i="31"/>
  <c r="E12" i="31"/>
  <c r="E11" i="31"/>
  <c r="D10" i="31"/>
  <c r="C9" i="31"/>
  <c r="B8" i="31"/>
  <c r="E106" i="31"/>
  <c r="E105" i="31"/>
  <c r="H17" i="31"/>
  <c r="J131" i="31" l="1"/>
  <c r="K131" i="31"/>
  <c r="H143" i="32"/>
  <c r="H142" i="32"/>
  <c r="H141" i="32"/>
  <c r="H140" i="32"/>
  <c r="H146" i="32"/>
  <c r="H145" i="32"/>
  <c r="H144" i="32"/>
  <c r="G138" i="32"/>
  <c r="M148" i="32"/>
  <c r="M107" i="32" s="1"/>
  <c r="K148" i="32"/>
  <c r="K107" i="32" s="1"/>
  <c r="J148" i="32"/>
  <c r="L139" i="32"/>
  <c r="L148" i="32" s="1"/>
  <c r="L107" i="32" s="1"/>
  <c r="I148" i="32"/>
  <c r="L86" i="32"/>
  <c r="H139" i="32" l="1"/>
  <c r="G4" i="32" l="1"/>
  <c r="L130" i="32"/>
  <c r="M130" i="32" s="1"/>
  <c r="J130" i="32"/>
  <c r="J128" i="32" s="1"/>
  <c r="J127" i="32"/>
  <c r="I122" i="32"/>
  <c r="L17" i="32" s="1"/>
  <c r="J120" i="32"/>
  <c r="L120" i="32" s="1"/>
  <c r="M120" i="32" s="1"/>
  <c r="O120" i="32" s="1"/>
  <c r="M108" i="32"/>
  <c r="L108" i="32"/>
  <c r="K108" i="32"/>
  <c r="J108" i="32"/>
  <c r="I108" i="32"/>
  <c r="O107" i="32"/>
  <c r="O106" i="32"/>
  <c r="O105" i="32"/>
  <c r="V105" i="31" s="1"/>
  <c r="K97" i="32"/>
  <c r="J97" i="32"/>
  <c r="I97" i="32"/>
  <c r="O95" i="32"/>
  <c r="V95" i="31" s="1"/>
  <c r="O94" i="32"/>
  <c r="V94" i="31" s="1"/>
  <c r="O92" i="32"/>
  <c r="O91" i="32"/>
  <c r="J88" i="32"/>
  <c r="I88" i="32"/>
  <c r="O86" i="32"/>
  <c r="V86" i="31" s="1"/>
  <c r="M88" i="32"/>
  <c r="L88" i="32"/>
  <c r="O84" i="32"/>
  <c r="O83" i="32"/>
  <c r="V83" i="31" s="1"/>
  <c r="O82" i="32"/>
  <c r="J79" i="32"/>
  <c r="O77" i="32"/>
  <c r="V77" i="31" s="1"/>
  <c r="O76" i="32"/>
  <c r="V76" i="31" s="1"/>
  <c r="O75" i="32"/>
  <c r="O74" i="32"/>
  <c r="O73" i="32"/>
  <c r="K72" i="32"/>
  <c r="K79" i="32" s="1"/>
  <c r="J72" i="32"/>
  <c r="I72" i="32"/>
  <c r="I79" i="32" s="1"/>
  <c r="O70" i="32"/>
  <c r="O69" i="32"/>
  <c r="V69" i="31" s="1"/>
  <c r="O68" i="32"/>
  <c r="O65" i="32"/>
  <c r="O64" i="32"/>
  <c r="L61" i="32"/>
  <c r="K61" i="32"/>
  <c r="J61" i="32"/>
  <c r="O59" i="32"/>
  <c r="O58" i="32"/>
  <c r="O57" i="32"/>
  <c r="O56" i="32"/>
  <c r="V56" i="31" s="1"/>
  <c r="O55" i="32"/>
  <c r="V55" i="31" s="1"/>
  <c r="M61" i="32"/>
  <c r="I61" i="32"/>
  <c r="O53" i="32"/>
  <c r="V53" i="31" s="1"/>
  <c r="O52" i="32"/>
  <c r="M49" i="32"/>
  <c r="L49" i="32"/>
  <c r="K49" i="32"/>
  <c r="J49" i="32"/>
  <c r="I49" i="32"/>
  <c r="O47" i="32"/>
  <c r="V47" i="31" s="1"/>
  <c r="O45" i="32"/>
  <c r="V45" i="31" s="1"/>
  <c r="O44" i="32"/>
  <c r="V44" i="31" s="1"/>
  <c r="O43" i="32"/>
  <c r="O42" i="32"/>
  <c r="O41" i="32"/>
  <c r="V41" i="31" s="1"/>
  <c r="J38" i="32"/>
  <c r="O36" i="32"/>
  <c r="V36" i="31" s="1"/>
  <c r="O35" i="32"/>
  <c r="O34" i="32"/>
  <c r="O33" i="32"/>
  <c r="V33" i="31" s="1"/>
  <c r="O32" i="32"/>
  <c r="V32" i="31" s="1"/>
  <c r="O31" i="32"/>
  <c r="O30" i="32"/>
  <c r="O28" i="32"/>
  <c r="V28" i="31" s="1"/>
  <c r="O27" i="32"/>
  <c r="O26" i="32"/>
  <c r="V26" i="31" s="1"/>
  <c r="O25" i="32"/>
  <c r="V25" i="31" s="1"/>
  <c r="O20" i="32"/>
  <c r="O19" i="32"/>
  <c r="O18" i="32"/>
  <c r="K15" i="32"/>
  <c r="K22" i="32" s="1"/>
  <c r="J15" i="32"/>
  <c r="W12" i="32"/>
  <c r="W13" i="32" s="1"/>
  <c r="V12" i="32"/>
  <c r="O11" i="32"/>
  <c r="T147" i="31"/>
  <c r="S147" i="31"/>
  <c r="R147" i="31"/>
  <c r="P147" i="31"/>
  <c r="P85" i="31" s="1"/>
  <c r="O147" i="31"/>
  <c r="O85" i="31" s="1"/>
  <c r="N147" i="31"/>
  <c r="N85" i="31" s="1"/>
  <c r="M147" i="31"/>
  <c r="L147" i="31"/>
  <c r="L85" i="31" s="1"/>
  <c r="J147" i="31"/>
  <c r="I147" i="31"/>
  <c r="I85" i="31" s="1"/>
  <c r="Q144" i="31"/>
  <c r="H144" i="31" s="1"/>
  <c r="K138" i="31"/>
  <c r="S132" i="31"/>
  <c r="U132" i="31" s="1"/>
  <c r="W119" i="31"/>
  <c r="V119" i="31"/>
  <c r="U119" i="31"/>
  <c r="T119" i="31"/>
  <c r="S119" i="31"/>
  <c r="R119" i="31"/>
  <c r="Q119" i="31"/>
  <c r="P119" i="31"/>
  <c r="O119" i="31"/>
  <c r="N119" i="31"/>
  <c r="M119" i="31"/>
  <c r="L119" i="31"/>
  <c r="K119" i="31"/>
  <c r="J119" i="31"/>
  <c r="I119" i="31"/>
  <c r="P107" i="31"/>
  <c r="P108" i="31" s="1"/>
  <c r="O107" i="31"/>
  <c r="O108" i="31" s="1"/>
  <c r="U106" i="31"/>
  <c r="U105" i="31"/>
  <c r="U94" i="31"/>
  <c r="J93" i="31"/>
  <c r="U92" i="31"/>
  <c r="U91" i="31"/>
  <c r="T86" i="31"/>
  <c r="T88" i="31" s="1"/>
  <c r="S86" i="31"/>
  <c r="R86" i="31"/>
  <c r="Q86" i="31"/>
  <c r="P86" i="31"/>
  <c r="O86" i="31"/>
  <c r="N86" i="31"/>
  <c r="M86" i="31"/>
  <c r="L86" i="31"/>
  <c r="K86" i="31"/>
  <c r="J86" i="31"/>
  <c r="I86" i="31"/>
  <c r="U83" i="31"/>
  <c r="U82" i="31"/>
  <c r="U77" i="31"/>
  <c r="U76" i="31"/>
  <c r="U75" i="31"/>
  <c r="U74" i="31"/>
  <c r="U73" i="31"/>
  <c r="I72" i="31"/>
  <c r="I79" i="31" s="1"/>
  <c r="U68" i="31"/>
  <c r="W66" i="31"/>
  <c r="U65" i="31"/>
  <c r="U64" i="31"/>
  <c r="T61" i="31"/>
  <c r="S61" i="31"/>
  <c r="P61" i="31"/>
  <c r="N61" i="31"/>
  <c r="J61" i="31"/>
  <c r="I61" i="31"/>
  <c r="U59" i="31"/>
  <c r="U58" i="31"/>
  <c r="U57" i="31"/>
  <c r="U56" i="31"/>
  <c r="U55" i="31"/>
  <c r="Q61" i="31"/>
  <c r="O61" i="31"/>
  <c r="U53" i="31"/>
  <c r="U52" i="31"/>
  <c r="T49" i="31"/>
  <c r="S49" i="31"/>
  <c r="R49" i="31"/>
  <c r="Q49" i="31"/>
  <c r="P49" i="31"/>
  <c r="O49" i="31"/>
  <c r="N49" i="31"/>
  <c r="M49" i="31"/>
  <c r="L49" i="31"/>
  <c r="K49" i="31"/>
  <c r="J49" i="31"/>
  <c r="I49" i="31"/>
  <c r="U47" i="31"/>
  <c r="U45" i="31"/>
  <c r="W45" i="31" s="1"/>
  <c r="U44" i="31"/>
  <c r="U43" i="31"/>
  <c r="U42" i="31"/>
  <c r="U41" i="31"/>
  <c r="U36" i="31"/>
  <c r="U35" i="31"/>
  <c r="U33" i="31"/>
  <c r="U32" i="31"/>
  <c r="U31" i="31"/>
  <c r="U30" i="31"/>
  <c r="U28" i="31"/>
  <c r="U27" i="31"/>
  <c r="U25" i="31"/>
  <c r="U19" i="31"/>
  <c r="U18" i="31"/>
  <c r="Z12" i="31"/>
  <c r="U11" i="31"/>
  <c r="G5" i="31"/>
  <c r="J22" i="32" l="1"/>
  <c r="V13" i="32"/>
  <c r="J107" i="31"/>
  <c r="J85" i="31"/>
  <c r="J88" i="31" s="1"/>
  <c r="W44" i="31"/>
  <c r="W55" i="31"/>
  <c r="I107" i="31"/>
  <c r="I108" i="31" s="1"/>
  <c r="J132" i="32"/>
  <c r="K127" i="32" s="1"/>
  <c r="K129" i="32" s="1"/>
  <c r="N107" i="31"/>
  <c r="N108" i="31" s="1"/>
  <c r="V27" i="31"/>
  <c r="W27" i="31" s="1"/>
  <c r="V82" i="31"/>
  <c r="W82" i="31" s="1"/>
  <c r="Q147" i="31"/>
  <c r="Q85" i="31" s="1"/>
  <c r="V11" i="31"/>
  <c r="W11" i="31" s="1"/>
  <c r="X12" i="32"/>
  <c r="X13" i="32" s="1"/>
  <c r="I2" i="29"/>
  <c r="V34" i="31"/>
  <c r="V58" i="31"/>
  <c r="W58" i="31" s="1"/>
  <c r="V73" i="31"/>
  <c r="W73" i="31" s="1"/>
  <c r="V75" i="31"/>
  <c r="W75" i="31" s="1"/>
  <c r="W47" i="31"/>
  <c r="K147" i="31"/>
  <c r="H138" i="31"/>
  <c r="H147" i="31" s="1"/>
  <c r="T107" i="31"/>
  <c r="T108" i="31" s="1"/>
  <c r="V20" i="31"/>
  <c r="V43" i="31"/>
  <c r="W43" i="31" s="1"/>
  <c r="I97" i="31"/>
  <c r="W53" i="31"/>
  <c r="W83" i="31"/>
  <c r="W105" i="31"/>
  <c r="V31" i="31"/>
  <c r="W31" i="31" s="1"/>
  <c r="V52" i="31"/>
  <c r="W52" i="31" s="1"/>
  <c r="V74" i="31"/>
  <c r="W74" i="31" s="1"/>
  <c r="V91" i="31"/>
  <c r="W91" i="31" s="1"/>
  <c r="V106" i="31"/>
  <c r="W106" i="31" s="1"/>
  <c r="V42" i="31"/>
  <c r="W42" i="31" s="1"/>
  <c r="J99" i="32"/>
  <c r="V57" i="31"/>
  <c r="W57" i="31" s="1"/>
  <c r="V30" i="31"/>
  <c r="W30" i="31" s="1"/>
  <c r="V19" i="31"/>
  <c r="W19" i="31" s="1"/>
  <c r="H121" i="31"/>
  <c r="I121" i="31" s="1"/>
  <c r="J121" i="31" s="1"/>
  <c r="K121" i="31" s="1"/>
  <c r="L121" i="31" s="1"/>
  <c r="M121" i="31" s="1"/>
  <c r="N121" i="31" s="1"/>
  <c r="O121" i="31" s="1"/>
  <c r="P121" i="31" s="1"/>
  <c r="Q121" i="31" s="1"/>
  <c r="R121" i="31" s="1"/>
  <c r="S121" i="31" s="1"/>
  <c r="T121" i="31" s="1"/>
  <c r="U121" i="31" s="1"/>
  <c r="V121" i="31"/>
  <c r="W56" i="31"/>
  <c r="W94" i="31"/>
  <c r="V84" i="31"/>
  <c r="W32" i="31"/>
  <c r="W77" i="31"/>
  <c r="V68" i="31"/>
  <c r="W68" i="31" s="1"/>
  <c r="V35" i="31"/>
  <c r="W35" i="31" s="1"/>
  <c r="V18" i="31"/>
  <c r="W18" i="31" s="1"/>
  <c r="V65" i="31"/>
  <c r="W65" i="31" s="1"/>
  <c r="W76" i="31"/>
  <c r="V70" i="31"/>
  <c r="V64" i="31"/>
  <c r="W64" i="31" s="1"/>
  <c r="V59" i="31"/>
  <c r="U95" i="31"/>
  <c r="W95" i="31" s="1"/>
  <c r="M107" i="31"/>
  <c r="M108" i="31" s="1"/>
  <c r="M85" i="31"/>
  <c r="Q107" i="31"/>
  <c r="Q108" i="31" s="1"/>
  <c r="L107" i="31"/>
  <c r="L108" i="31" s="1"/>
  <c r="S107" i="31"/>
  <c r="S108" i="31" s="1"/>
  <c r="S85" i="31"/>
  <c r="S88" i="31" s="1"/>
  <c r="K107" i="31"/>
  <c r="K108" i="31" s="1"/>
  <c r="K85" i="31"/>
  <c r="K88" i="31" s="1"/>
  <c r="J108" i="31"/>
  <c r="V107" i="31"/>
  <c r="Q92" i="32"/>
  <c r="V92" i="31"/>
  <c r="R107" i="31"/>
  <c r="R108" i="31" s="1"/>
  <c r="R85" i="31"/>
  <c r="U49" i="31"/>
  <c r="W41" i="31"/>
  <c r="L88" i="31"/>
  <c r="I88" i="31"/>
  <c r="O85" i="32"/>
  <c r="K88" i="32"/>
  <c r="O108" i="32"/>
  <c r="O49" i="32"/>
  <c r="M93" i="32"/>
  <c r="M97" i="32" s="1"/>
  <c r="M13" i="32"/>
  <c r="I15" i="32"/>
  <c r="I22" i="32" s="1"/>
  <c r="O54" i="32"/>
  <c r="I38" i="32"/>
  <c r="L97" i="32"/>
  <c r="W36" i="31"/>
  <c r="K93" i="31"/>
  <c r="U86" i="31"/>
  <c r="W86" i="31" s="1"/>
  <c r="J97" i="31"/>
  <c r="K61" i="31"/>
  <c r="W33" i="31"/>
  <c r="W28" i="31"/>
  <c r="R61" i="31"/>
  <c r="U26" i="31"/>
  <c r="W26" i="31" s="1"/>
  <c r="W25" i="31"/>
  <c r="M26" i="19"/>
  <c r="I152" i="19"/>
  <c r="S131" i="19"/>
  <c r="I53" i="2"/>
  <c r="I104" i="2"/>
  <c r="I25" i="2"/>
  <c r="I12" i="2"/>
  <c r="E106" i="19"/>
  <c r="S94" i="19"/>
  <c r="O94" i="19"/>
  <c r="N94" i="19" s="1"/>
  <c r="L28" i="19"/>
  <c r="V91" i="19"/>
  <c r="U91" i="19"/>
  <c r="E91" i="19"/>
  <c r="U82" i="19"/>
  <c r="Q83" i="32" s="1"/>
  <c r="I44" i="2"/>
  <c r="O91" i="2"/>
  <c r="Q91" i="2" s="1"/>
  <c r="L53" i="2"/>
  <c r="M53" i="2" s="1"/>
  <c r="L13" i="2"/>
  <c r="L12" i="2"/>
  <c r="M12" i="2" s="1"/>
  <c r="I112" i="2"/>
  <c r="J101" i="32" l="1"/>
  <c r="J110" i="32" s="1"/>
  <c r="J115" i="32" s="1"/>
  <c r="J119" i="32" s="1"/>
  <c r="J122" i="32" s="1"/>
  <c r="K128" i="32"/>
  <c r="K113" i="32" s="1"/>
  <c r="K38" i="32"/>
  <c r="K99" i="32" s="1"/>
  <c r="K101" i="32" s="1"/>
  <c r="K110" i="32" s="1"/>
  <c r="V49" i="31"/>
  <c r="Y49" i="31" s="1"/>
  <c r="W49" i="31"/>
  <c r="I99" i="32"/>
  <c r="I101" i="32" s="1"/>
  <c r="I110" i="32" s="1"/>
  <c r="I111" i="32" s="1"/>
  <c r="V108" i="31"/>
  <c r="W121" i="31"/>
  <c r="V54" i="31"/>
  <c r="V61" i="31" s="1"/>
  <c r="W59" i="31"/>
  <c r="U85" i="31"/>
  <c r="U107" i="31"/>
  <c r="W107" i="31" s="1"/>
  <c r="W108" i="31" s="1"/>
  <c r="V85" i="31"/>
  <c r="V88" i="31" s="1"/>
  <c r="W92" i="31"/>
  <c r="O88" i="32"/>
  <c r="O61" i="32"/>
  <c r="O93" i="32"/>
  <c r="V93" i="31" s="1"/>
  <c r="V97" i="31" s="1"/>
  <c r="O13" i="32"/>
  <c r="V13" i="31" s="1"/>
  <c r="L131" i="31"/>
  <c r="L61" i="31"/>
  <c r="K97" i="31"/>
  <c r="L93" i="31"/>
  <c r="W91" i="19"/>
  <c r="E82" i="19"/>
  <c r="O82" i="2"/>
  <c r="F68" i="19"/>
  <c r="O68" i="2"/>
  <c r="I20" i="2"/>
  <c r="I36" i="2"/>
  <c r="K129" i="2"/>
  <c r="T144" i="30"/>
  <c r="S144" i="30"/>
  <c r="R144" i="30"/>
  <c r="R104" i="30" s="1"/>
  <c r="R105" i="30" s="1"/>
  <c r="P144" i="30"/>
  <c r="O144" i="30"/>
  <c r="O104" i="30" s="1"/>
  <c r="O105" i="30" s="1"/>
  <c r="N144" i="30"/>
  <c r="N104" i="30" s="1"/>
  <c r="N105" i="30" s="1"/>
  <c r="M144" i="30"/>
  <c r="M104" i="30" s="1"/>
  <c r="M105" i="30" s="1"/>
  <c r="L144" i="30"/>
  <c r="J144" i="30"/>
  <c r="I144" i="30"/>
  <c r="I104" i="30" s="1"/>
  <c r="Q141" i="30"/>
  <c r="Q144" i="30" s="1"/>
  <c r="Q104" i="30" s="1"/>
  <c r="Q105" i="30" s="1"/>
  <c r="K135" i="30"/>
  <c r="K144" i="30" s="1"/>
  <c r="H135" i="30"/>
  <c r="H144" i="30" s="1"/>
  <c r="F134" i="30"/>
  <c r="H130" i="30"/>
  <c r="U129" i="30"/>
  <c r="I128" i="30"/>
  <c r="J128" i="30" s="1"/>
  <c r="K128" i="30" s="1"/>
  <c r="G127" i="30"/>
  <c r="V118" i="30"/>
  <c r="H118" i="30"/>
  <c r="V117" i="30"/>
  <c r="H117" i="30"/>
  <c r="W116" i="30"/>
  <c r="V116" i="30"/>
  <c r="U116" i="30"/>
  <c r="T116" i="30"/>
  <c r="S116" i="30"/>
  <c r="R116" i="30"/>
  <c r="Q116" i="30"/>
  <c r="P116" i="30"/>
  <c r="O116" i="30"/>
  <c r="N116" i="30"/>
  <c r="M116" i="30"/>
  <c r="L116" i="30"/>
  <c r="K116" i="30"/>
  <c r="J116" i="30"/>
  <c r="I116" i="30"/>
  <c r="V110" i="30"/>
  <c r="S105" i="30"/>
  <c r="D105" i="30"/>
  <c r="V104" i="30"/>
  <c r="T104" i="30"/>
  <c r="T105" i="30" s="1"/>
  <c r="S104" i="30"/>
  <c r="P104" i="30"/>
  <c r="P105" i="30" s="1"/>
  <c r="L104" i="30"/>
  <c r="L105" i="30" s="1"/>
  <c r="K104" i="30"/>
  <c r="K105" i="30" s="1"/>
  <c r="J104" i="30"/>
  <c r="J105" i="30" s="1"/>
  <c r="V103" i="30"/>
  <c r="U103" i="30"/>
  <c r="E103" i="30"/>
  <c r="V102" i="30"/>
  <c r="U102" i="30"/>
  <c r="E102" i="30"/>
  <c r="D101" i="30"/>
  <c r="C100" i="30"/>
  <c r="C96" i="30"/>
  <c r="J94" i="30"/>
  <c r="I94" i="30"/>
  <c r="D94" i="30"/>
  <c r="V92" i="30"/>
  <c r="N92" i="30"/>
  <c r="O92" i="30" s="1"/>
  <c r="E92" i="30"/>
  <c r="V91" i="30"/>
  <c r="U91" i="30"/>
  <c r="E91" i="30"/>
  <c r="V90" i="30"/>
  <c r="I90" i="30"/>
  <c r="J90" i="30" s="1"/>
  <c r="E90" i="30"/>
  <c r="V89" i="30"/>
  <c r="U89" i="30"/>
  <c r="E89" i="30"/>
  <c r="D88" i="30"/>
  <c r="D86" i="30"/>
  <c r="V84" i="30"/>
  <c r="T84" i="30"/>
  <c r="S84" i="30"/>
  <c r="R84" i="30"/>
  <c r="R86" i="30" s="1"/>
  <c r="Q84" i="30"/>
  <c r="P84" i="30"/>
  <c r="O84" i="30"/>
  <c r="N84" i="30"/>
  <c r="M84" i="30"/>
  <c r="L84" i="30"/>
  <c r="K84" i="30"/>
  <c r="J84" i="30"/>
  <c r="J86" i="30" s="1"/>
  <c r="I84" i="30"/>
  <c r="E84" i="30"/>
  <c r="V83" i="30"/>
  <c r="T83" i="30"/>
  <c r="T86" i="30" s="1"/>
  <c r="S83" i="30"/>
  <c r="R83" i="30"/>
  <c r="Q83" i="30"/>
  <c r="P83" i="30"/>
  <c r="P86" i="30" s="1"/>
  <c r="O83" i="30"/>
  <c r="N83" i="30"/>
  <c r="M83" i="30"/>
  <c r="L83" i="30"/>
  <c r="L86" i="30" s="1"/>
  <c r="K83" i="30"/>
  <c r="J83" i="30"/>
  <c r="I83" i="30"/>
  <c r="E83" i="30"/>
  <c r="V82" i="30"/>
  <c r="U82" i="30"/>
  <c r="E82" i="30"/>
  <c r="V81" i="30"/>
  <c r="U81" i="30"/>
  <c r="E81" i="30"/>
  <c r="D80" i="30"/>
  <c r="S78" i="30"/>
  <c r="D78" i="30"/>
  <c r="V76" i="30"/>
  <c r="W76" i="30" s="1"/>
  <c r="U76" i="30"/>
  <c r="E76" i="30"/>
  <c r="V75" i="30"/>
  <c r="W75" i="30" s="1"/>
  <c r="U75" i="30"/>
  <c r="E75" i="30"/>
  <c r="V74" i="30"/>
  <c r="W74" i="30" s="1"/>
  <c r="U74" i="30"/>
  <c r="E74" i="30"/>
  <c r="V73" i="30"/>
  <c r="W73" i="30" s="1"/>
  <c r="U73" i="30"/>
  <c r="E73" i="30"/>
  <c r="V72" i="30"/>
  <c r="W72" i="30" s="1"/>
  <c r="U72" i="30"/>
  <c r="E72" i="30"/>
  <c r="T71" i="30"/>
  <c r="T78" i="30" s="1"/>
  <c r="S71" i="30"/>
  <c r="L71" i="30"/>
  <c r="L78" i="30" s="1"/>
  <c r="K71" i="30"/>
  <c r="K78" i="30" s="1"/>
  <c r="J71" i="30"/>
  <c r="J78" i="30" s="1"/>
  <c r="I71" i="30"/>
  <c r="I78" i="30" s="1"/>
  <c r="F71" i="30"/>
  <c r="V69" i="30"/>
  <c r="R69" i="30"/>
  <c r="R71" i="30" s="1"/>
  <c r="R78" i="30" s="1"/>
  <c r="Q69" i="30"/>
  <c r="Q71" i="30" s="1"/>
  <c r="Q78" i="30" s="1"/>
  <c r="P69" i="30"/>
  <c r="P71" i="30" s="1"/>
  <c r="P78" i="30" s="1"/>
  <c r="O69" i="30"/>
  <c r="O71" i="30" s="1"/>
  <c r="O78" i="30" s="1"/>
  <c r="N69" i="30"/>
  <c r="M69" i="30"/>
  <c r="M71" i="30" s="1"/>
  <c r="M78" i="30" s="1"/>
  <c r="F69" i="30"/>
  <c r="V68" i="30"/>
  <c r="W68" i="30" s="1"/>
  <c r="U68" i="30"/>
  <c r="F68" i="30"/>
  <c r="V67" i="30"/>
  <c r="U67" i="30"/>
  <c r="F67" i="30"/>
  <c r="W66" i="30"/>
  <c r="E66" i="30"/>
  <c r="V65" i="30"/>
  <c r="W65" i="30" s="1"/>
  <c r="U65" i="30"/>
  <c r="D65" i="30"/>
  <c r="V64" i="30"/>
  <c r="U64" i="30"/>
  <c r="D64" i="30"/>
  <c r="C63" i="30"/>
  <c r="S61" i="30"/>
  <c r="J61" i="30"/>
  <c r="I61" i="30"/>
  <c r="C61" i="30"/>
  <c r="V59" i="30"/>
  <c r="U59" i="30"/>
  <c r="D59" i="30"/>
  <c r="V58" i="30"/>
  <c r="W58" i="30" s="1"/>
  <c r="U58" i="30"/>
  <c r="V57" i="30"/>
  <c r="U57" i="30"/>
  <c r="D57" i="30"/>
  <c r="V56" i="30"/>
  <c r="U56" i="30"/>
  <c r="D56" i="30"/>
  <c r="V55" i="30"/>
  <c r="U55" i="30"/>
  <c r="D55" i="30"/>
  <c r="V54" i="30"/>
  <c r="T54" i="30"/>
  <c r="T61" i="30" s="1"/>
  <c r="P54" i="30"/>
  <c r="P61" i="30" s="1"/>
  <c r="N54" i="30"/>
  <c r="N61" i="30" s="1"/>
  <c r="K54" i="30"/>
  <c r="K61" i="30" s="1"/>
  <c r="D54" i="30"/>
  <c r="V53" i="30"/>
  <c r="W53" i="30" s="1"/>
  <c r="U53" i="30"/>
  <c r="D53" i="30"/>
  <c r="V52" i="30"/>
  <c r="W52" i="30" s="1"/>
  <c r="U52" i="30"/>
  <c r="D52" i="30"/>
  <c r="C51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C49" i="30"/>
  <c r="V47" i="30"/>
  <c r="U47" i="30"/>
  <c r="D47" i="30"/>
  <c r="V46" i="30"/>
  <c r="U46" i="30"/>
  <c r="D46" i="30"/>
  <c r="V45" i="30"/>
  <c r="U45" i="30"/>
  <c r="D45" i="30"/>
  <c r="V44" i="30"/>
  <c r="U44" i="30"/>
  <c r="D44" i="30"/>
  <c r="V43" i="30"/>
  <c r="U43" i="30"/>
  <c r="D43" i="30"/>
  <c r="V42" i="30"/>
  <c r="U42" i="30"/>
  <c r="D42" i="30"/>
  <c r="C41" i="30"/>
  <c r="C39" i="30"/>
  <c r="V37" i="30"/>
  <c r="U37" i="30"/>
  <c r="D37" i="30"/>
  <c r="V36" i="30"/>
  <c r="U36" i="30"/>
  <c r="D36" i="30"/>
  <c r="V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D35" i="30"/>
  <c r="V34" i="30"/>
  <c r="U34" i="30"/>
  <c r="D34" i="30"/>
  <c r="V33" i="30"/>
  <c r="U33" i="30"/>
  <c r="D33" i="30"/>
  <c r="V32" i="30"/>
  <c r="U32" i="30"/>
  <c r="V31" i="30"/>
  <c r="U31" i="30"/>
  <c r="D31" i="30"/>
  <c r="V30" i="30"/>
  <c r="U30" i="30"/>
  <c r="D30" i="30"/>
  <c r="V29" i="30"/>
  <c r="D29" i="30"/>
  <c r="V28" i="30"/>
  <c r="U28" i="30"/>
  <c r="D28" i="30"/>
  <c r="V27" i="30"/>
  <c r="U27" i="30"/>
  <c r="D27" i="30"/>
  <c r="V26" i="30"/>
  <c r="N26" i="30"/>
  <c r="M26" i="30"/>
  <c r="U26" i="30" s="1"/>
  <c r="D26" i="30"/>
  <c r="V25" i="30"/>
  <c r="U25" i="30"/>
  <c r="D25" i="30"/>
  <c r="C24" i="30"/>
  <c r="C22" i="30"/>
  <c r="V20" i="30"/>
  <c r="D20" i="30"/>
  <c r="V19" i="30"/>
  <c r="U19" i="30"/>
  <c r="D19" i="30"/>
  <c r="V18" i="30"/>
  <c r="W18" i="30" s="1"/>
  <c r="U18" i="30"/>
  <c r="D18" i="30"/>
  <c r="V17" i="30"/>
  <c r="H17" i="30"/>
  <c r="D17" i="30"/>
  <c r="D15" i="30"/>
  <c r="V13" i="30"/>
  <c r="E13" i="30"/>
  <c r="AB12" i="30"/>
  <c r="AA12" i="30"/>
  <c r="Z12" i="30"/>
  <c r="V12" i="30"/>
  <c r="H12" i="30"/>
  <c r="E12" i="30"/>
  <c r="V11" i="30"/>
  <c r="U11" i="30"/>
  <c r="E11" i="30"/>
  <c r="D10" i="30"/>
  <c r="C9" i="30"/>
  <c r="B8" i="30"/>
  <c r="G5" i="30"/>
  <c r="K115" i="32" l="1"/>
  <c r="K122" i="32" s="1"/>
  <c r="K132" i="32"/>
  <c r="L127" i="32" s="1"/>
  <c r="L129" i="32" s="1"/>
  <c r="L29" i="32" s="1"/>
  <c r="W47" i="30"/>
  <c r="V61" i="30"/>
  <c r="W11" i="30"/>
  <c r="W46" i="30"/>
  <c r="W34" i="30"/>
  <c r="W37" i="30"/>
  <c r="W43" i="30"/>
  <c r="O54" i="30"/>
  <c r="O61" i="30" s="1"/>
  <c r="W89" i="30"/>
  <c r="W25" i="30"/>
  <c r="W27" i="30"/>
  <c r="W33" i="30"/>
  <c r="W36" i="30"/>
  <c r="W42" i="30"/>
  <c r="L54" i="30"/>
  <c r="W57" i="30"/>
  <c r="N86" i="30"/>
  <c r="U92" i="30"/>
  <c r="W92" i="30" s="1"/>
  <c r="V15" i="30"/>
  <c r="V22" i="30" s="1"/>
  <c r="AC12" i="30"/>
  <c r="AD12" i="30" s="1"/>
  <c r="W19" i="30"/>
  <c r="W26" i="30"/>
  <c r="W32" i="30"/>
  <c r="U49" i="30"/>
  <c r="Q54" i="30"/>
  <c r="R54" i="30" s="1"/>
  <c r="W56" i="30"/>
  <c r="W59" i="30"/>
  <c r="W82" i="30"/>
  <c r="K86" i="30"/>
  <c r="O86" i="30"/>
  <c r="S86" i="30"/>
  <c r="U84" i="30"/>
  <c r="M86" i="30"/>
  <c r="W91" i="30"/>
  <c r="W85" i="31"/>
  <c r="U108" i="31"/>
  <c r="Y108" i="31" s="1"/>
  <c r="O97" i="32"/>
  <c r="I115" i="32"/>
  <c r="M61" i="31"/>
  <c r="U54" i="31"/>
  <c r="M131" i="31"/>
  <c r="N131" i="31" s="1"/>
  <c r="L97" i="31"/>
  <c r="M93" i="31"/>
  <c r="Q68" i="2"/>
  <c r="V68" i="19"/>
  <c r="Q82" i="2"/>
  <c r="V82" i="19"/>
  <c r="W82" i="19" s="1"/>
  <c r="V120" i="30"/>
  <c r="O12" i="30"/>
  <c r="N71" i="30"/>
  <c r="N78" i="30" s="1"/>
  <c r="U69" i="30"/>
  <c r="U71" i="30" s="1"/>
  <c r="U78" i="30" s="1"/>
  <c r="I13" i="30"/>
  <c r="R12" i="30"/>
  <c r="J12" i="30"/>
  <c r="M12" i="30"/>
  <c r="I12" i="30"/>
  <c r="W31" i="30"/>
  <c r="W45" i="30"/>
  <c r="W81" i="30"/>
  <c r="V86" i="30"/>
  <c r="I118" i="30"/>
  <c r="J118" i="30" s="1"/>
  <c r="K118" i="30" s="1"/>
  <c r="L118" i="30" s="1"/>
  <c r="M118" i="30" s="1"/>
  <c r="N118" i="30" s="1"/>
  <c r="O118" i="30" s="1"/>
  <c r="P118" i="30" s="1"/>
  <c r="Q118" i="30" s="1"/>
  <c r="R118" i="30" s="1"/>
  <c r="S118" i="30" s="1"/>
  <c r="T118" i="30" s="1"/>
  <c r="U118" i="30" s="1"/>
  <c r="W118" i="30" s="1"/>
  <c r="H120" i="30"/>
  <c r="I17" i="30" s="1"/>
  <c r="W28" i="30"/>
  <c r="W30" i="30"/>
  <c r="U35" i="30"/>
  <c r="W35" i="30" s="1"/>
  <c r="W44" i="30"/>
  <c r="V71" i="30"/>
  <c r="W67" i="30"/>
  <c r="I86" i="30"/>
  <c r="Q86" i="30"/>
  <c r="U83" i="30"/>
  <c r="W84" i="30"/>
  <c r="K90" i="30"/>
  <c r="V94" i="30"/>
  <c r="W102" i="30"/>
  <c r="V105" i="30"/>
  <c r="W55" i="30"/>
  <c r="L12" i="30"/>
  <c r="V39" i="30"/>
  <c r="Q61" i="30"/>
  <c r="L128" i="30"/>
  <c r="V49" i="30"/>
  <c r="Y49" i="30" s="1"/>
  <c r="W103" i="30"/>
  <c r="U125" i="30"/>
  <c r="I125" i="30"/>
  <c r="I127" i="30" s="1"/>
  <c r="I105" i="30"/>
  <c r="U104" i="30"/>
  <c r="W104" i="30" s="1"/>
  <c r="W64" i="30"/>
  <c r="L128" i="32" l="1"/>
  <c r="L113" i="32" s="1"/>
  <c r="L61" i="30"/>
  <c r="M54" i="30"/>
  <c r="M61" i="30" s="1"/>
  <c r="U86" i="30"/>
  <c r="Y86" i="30" s="1"/>
  <c r="U105" i="30"/>
  <c r="Y105" i="30" s="1"/>
  <c r="W49" i="30"/>
  <c r="L38" i="32"/>
  <c r="M97" i="31"/>
  <c r="N93" i="31"/>
  <c r="W54" i="31"/>
  <c r="W61" i="31" s="1"/>
  <c r="U61" i="31"/>
  <c r="Y61" i="31" s="1"/>
  <c r="W105" i="30"/>
  <c r="N12" i="30"/>
  <c r="K12" i="30"/>
  <c r="Y71" i="30"/>
  <c r="R61" i="30"/>
  <c r="U54" i="30"/>
  <c r="K94" i="30"/>
  <c r="L90" i="30"/>
  <c r="I126" i="30"/>
  <c r="I130" i="30" s="1"/>
  <c r="J125" i="30" s="1"/>
  <c r="I29" i="30"/>
  <c r="W69" i="30"/>
  <c r="W71" i="30" s="1"/>
  <c r="W78" i="30" s="1"/>
  <c r="W83" i="30"/>
  <c r="W86" i="30" s="1"/>
  <c r="M128" i="30"/>
  <c r="V78" i="30"/>
  <c r="Y78" i="30" s="1"/>
  <c r="I15" i="30"/>
  <c r="I22" i="30" s="1"/>
  <c r="J13" i="30"/>
  <c r="K13" i="30" s="1"/>
  <c r="L13" i="30" s="1"/>
  <c r="M13" i="30" s="1"/>
  <c r="N13" i="30" s="1"/>
  <c r="O13" i="30" s="1"/>
  <c r="L132" i="32" l="1"/>
  <c r="M127" i="32" s="1"/>
  <c r="M129" i="32" s="1"/>
  <c r="N97" i="31"/>
  <c r="O93" i="31"/>
  <c r="O131" i="31"/>
  <c r="J127" i="30"/>
  <c r="U61" i="30"/>
  <c r="Y61" i="30" s="1"/>
  <c r="W54" i="30"/>
  <c r="W61" i="30" s="1"/>
  <c r="J15" i="30"/>
  <c r="L15" i="30"/>
  <c r="L94" i="30"/>
  <c r="M90" i="30"/>
  <c r="N128" i="30"/>
  <c r="I39" i="30"/>
  <c r="I96" i="30" s="1"/>
  <c r="I98" i="30" s="1"/>
  <c r="I107" i="30" s="1"/>
  <c r="V96" i="30"/>
  <c r="M15" i="30"/>
  <c r="P13" i="30"/>
  <c r="Q13" i="30" s="1"/>
  <c r="R13" i="30" s="1"/>
  <c r="O15" i="30"/>
  <c r="I110" i="30"/>
  <c r="K15" i="30"/>
  <c r="P12" i="30"/>
  <c r="N15" i="30"/>
  <c r="M29" i="32" l="1"/>
  <c r="M128" i="32"/>
  <c r="P131" i="31"/>
  <c r="P93" i="31"/>
  <c r="O97" i="31"/>
  <c r="I112" i="30"/>
  <c r="I117" i="30" s="1"/>
  <c r="I120" i="30" s="1"/>
  <c r="J17" i="30" s="1"/>
  <c r="J22" i="30" s="1"/>
  <c r="P15" i="30"/>
  <c r="Q12" i="30"/>
  <c r="S13" i="30"/>
  <c r="T13" i="30" s="1"/>
  <c r="R15" i="30"/>
  <c r="J126" i="30"/>
  <c r="J29" i="30"/>
  <c r="N90" i="30"/>
  <c r="M94" i="30"/>
  <c r="V98" i="30"/>
  <c r="V107" i="30" s="1"/>
  <c r="V112" i="30" s="1"/>
  <c r="O128" i="30"/>
  <c r="M113" i="32" l="1"/>
  <c r="O113" i="32" s="1"/>
  <c r="V113" i="31" s="1"/>
  <c r="M132" i="32"/>
  <c r="H133" i="31" s="1"/>
  <c r="M38" i="32"/>
  <c r="O29" i="32"/>
  <c r="V29" i="31" s="1"/>
  <c r="Q131" i="31"/>
  <c r="Q93" i="31"/>
  <c r="P97" i="31"/>
  <c r="P128" i="30"/>
  <c r="S12" i="30"/>
  <c r="Q15" i="30"/>
  <c r="N94" i="30"/>
  <c r="O90" i="30"/>
  <c r="J39" i="30"/>
  <c r="J96" i="30" s="1"/>
  <c r="J98" i="30" s="1"/>
  <c r="J107" i="30" s="1"/>
  <c r="J110" i="30"/>
  <c r="J130" i="30"/>
  <c r="K125" i="30" s="1"/>
  <c r="U13" i="30"/>
  <c r="W13" i="30" s="1"/>
  <c r="N20" i="30"/>
  <c r="J112" i="30" l="1"/>
  <c r="J117" i="30" s="1"/>
  <c r="J120" i="30" s="1"/>
  <c r="K17" i="30" s="1"/>
  <c r="K22" i="30" s="1"/>
  <c r="O38" i="32"/>
  <c r="R93" i="31"/>
  <c r="Q97" i="31"/>
  <c r="R131" i="31"/>
  <c r="K127" i="30"/>
  <c r="S15" i="30"/>
  <c r="T12" i="30"/>
  <c r="O94" i="30"/>
  <c r="P90" i="30"/>
  <c r="Q128" i="30"/>
  <c r="S131" i="31" l="1"/>
  <c r="T131" i="31" s="1"/>
  <c r="S93" i="31"/>
  <c r="R97" i="31"/>
  <c r="P94" i="30"/>
  <c r="Q90" i="30"/>
  <c r="K29" i="30"/>
  <c r="K126" i="30"/>
  <c r="T15" i="30"/>
  <c r="U12" i="30"/>
  <c r="R128" i="30"/>
  <c r="S97" i="31" l="1"/>
  <c r="T93" i="31"/>
  <c r="U20" i="31" s="1"/>
  <c r="W20" i="31" s="1"/>
  <c r="K110" i="30"/>
  <c r="K130" i="30"/>
  <c r="L125" i="30" s="1"/>
  <c r="R90" i="30"/>
  <c r="Q94" i="30"/>
  <c r="U15" i="30"/>
  <c r="W12" i="30"/>
  <c r="W15" i="30" s="1"/>
  <c r="AD13" i="30"/>
  <c r="K39" i="30"/>
  <c r="K96" i="30" s="1"/>
  <c r="K98" i="30" s="1"/>
  <c r="K107" i="30" s="1"/>
  <c r="S128" i="30"/>
  <c r="K112" i="30" l="1"/>
  <c r="K117" i="30" s="1"/>
  <c r="K120" i="30" s="1"/>
  <c r="L17" i="30" s="1"/>
  <c r="L22" i="30" s="1"/>
  <c r="U131" i="31"/>
  <c r="T97" i="31"/>
  <c r="U93" i="31"/>
  <c r="S90" i="30"/>
  <c r="R94" i="30"/>
  <c r="L127" i="30"/>
  <c r="Y15" i="30"/>
  <c r="T128" i="30"/>
  <c r="W93" i="31" l="1"/>
  <c r="W97" i="31" s="1"/>
  <c r="U97" i="31"/>
  <c r="Y97" i="31" s="1"/>
  <c r="L29" i="30"/>
  <c r="L126" i="30"/>
  <c r="S94" i="30"/>
  <c r="T90" i="30"/>
  <c r="U128" i="30"/>
  <c r="T94" i="30" l="1"/>
  <c r="U90" i="30"/>
  <c r="L39" i="30"/>
  <c r="L96" i="30" s="1"/>
  <c r="L98" i="30" s="1"/>
  <c r="L107" i="30" s="1"/>
  <c r="T20" i="30"/>
  <c r="U20" i="30" s="1"/>
  <c r="W20" i="30" s="1"/>
  <c r="L110" i="30"/>
  <c r="L130" i="30"/>
  <c r="M125" i="30" s="1"/>
  <c r="L112" i="30" l="1"/>
  <c r="L117" i="30" s="1"/>
  <c r="L120" i="30" s="1"/>
  <c r="M17" i="30" s="1"/>
  <c r="M22" i="30" s="1"/>
  <c r="M127" i="30"/>
  <c r="U94" i="30"/>
  <c r="Y94" i="30" s="1"/>
  <c r="W90" i="30"/>
  <c r="W94" i="30" s="1"/>
  <c r="M29" i="30" l="1"/>
  <c r="M126" i="30"/>
  <c r="M39" i="30" l="1"/>
  <c r="M96" i="30" s="1"/>
  <c r="M98" i="30" s="1"/>
  <c r="M107" i="30" s="1"/>
  <c r="M110" i="30"/>
  <c r="M130" i="30"/>
  <c r="N125" i="30" s="1"/>
  <c r="M112" i="30" l="1"/>
  <c r="M117" i="30" s="1"/>
  <c r="M120" i="30" s="1"/>
  <c r="N17" i="30" s="1"/>
  <c r="N22" i="30" s="1"/>
  <c r="N127" i="30"/>
  <c r="N29" i="30" l="1"/>
  <c r="N39" i="30" s="1"/>
  <c r="N96" i="30" s="1"/>
  <c r="N98" i="30" s="1"/>
  <c r="N107" i="30" s="1"/>
  <c r="N126" i="30"/>
  <c r="N110" i="30" l="1"/>
  <c r="N112" i="30" s="1"/>
  <c r="N117" i="30" s="1"/>
  <c r="N120" i="30" s="1"/>
  <c r="O17" i="30" s="1"/>
  <c r="O22" i="30" s="1"/>
  <c r="N130" i="30"/>
  <c r="O125" i="30" s="1"/>
  <c r="O127" i="30" l="1"/>
  <c r="O29" i="30" l="1"/>
  <c r="O39" i="30" s="1"/>
  <c r="O96" i="30" s="1"/>
  <c r="O98" i="30" s="1"/>
  <c r="O107" i="30" s="1"/>
  <c r="O126" i="30"/>
  <c r="O110" i="30" l="1"/>
  <c r="O112" i="30" s="1"/>
  <c r="O117" i="30" s="1"/>
  <c r="O120" i="30" s="1"/>
  <c r="P17" i="30" s="1"/>
  <c r="P22" i="30" s="1"/>
  <c r="O130" i="30"/>
  <c r="P125" i="30" s="1"/>
  <c r="P127" i="30" l="1"/>
  <c r="P29" i="30" l="1"/>
  <c r="P39" i="30" s="1"/>
  <c r="P96" i="30" s="1"/>
  <c r="P98" i="30" s="1"/>
  <c r="P107" i="30" s="1"/>
  <c r="P126" i="30"/>
  <c r="P110" i="30" l="1"/>
  <c r="P112" i="30" s="1"/>
  <c r="P117" i="30" s="1"/>
  <c r="P120" i="30" s="1"/>
  <c r="Q17" i="30" s="1"/>
  <c r="Q22" i="30" s="1"/>
  <c r="P130" i="30"/>
  <c r="Q125" i="30" s="1"/>
  <c r="Q127" i="30" l="1"/>
  <c r="Q29" i="30" l="1"/>
  <c r="Q39" i="30" s="1"/>
  <c r="Q96" i="30" s="1"/>
  <c r="Q98" i="30" s="1"/>
  <c r="Q107" i="30" s="1"/>
  <c r="Q126" i="30"/>
  <c r="Q110" i="30" l="1"/>
  <c r="Q112" i="30" s="1"/>
  <c r="Q117" i="30" s="1"/>
  <c r="Q120" i="30" s="1"/>
  <c r="R17" i="30" s="1"/>
  <c r="R22" i="30" s="1"/>
  <c r="Q130" i="30"/>
  <c r="R125" i="30" s="1"/>
  <c r="R127" i="30" l="1"/>
  <c r="R29" i="30" l="1"/>
  <c r="R39" i="30" s="1"/>
  <c r="R96" i="30" s="1"/>
  <c r="R98" i="30" s="1"/>
  <c r="R107" i="30" s="1"/>
  <c r="R126" i="30"/>
  <c r="R110" i="30" l="1"/>
  <c r="R112" i="30" s="1"/>
  <c r="R117" i="30" s="1"/>
  <c r="R120" i="30" s="1"/>
  <c r="S17" i="30" s="1"/>
  <c r="S22" i="30" s="1"/>
  <c r="R130" i="30"/>
  <c r="S125" i="30" s="1"/>
  <c r="S127" i="30" l="1"/>
  <c r="S29" i="30" l="1"/>
  <c r="S39" i="30" s="1"/>
  <c r="S96" i="30" s="1"/>
  <c r="S98" i="30" s="1"/>
  <c r="S107" i="30" s="1"/>
  <c r="S126" i="30"/>
  <c r="S110" i="30" l="1"/>
  <c r="S112" i="30" s="1"/>
  <c r="S117" i="30" s="1"/>
  <c r="S120" i="30" s="1"/>
  <c r="T17" i="30" s="1"/>
  <c r="S130" i="30"/>
  <c r="T125" i="30" s="1"/>
  <c r="U17" i="30" l="1"/>
  <c r="T22" i="30"/>
  <c r="T127" i="30"/>
  <c r="T29" i="30" l="1"/>
  <c r="T126" i="30"/>
  <c r="U127" i="30"/>
  <c r="W17" i="30"/>
  <c r="W22" i="30" s="1"/>
  <c r="U22" i="30"/>
  <c r="T110" i="30" l="1"/>
  <c r="U110" i="30" s="1"/>
  <c r="W110" i="30" s="1"/>
  <c r="U126" i="30"/>
  <c r="U130" i="30" s="1"/>
  <c r="T130" i="30"/>
  <c r="Y22" i="30"/>
  <c r="T39" i="30"/>
  <c r="T96" i="30" s="1"/>
  <c r="T98" i="30" s="1"/>
  <c r="T107" i="30" s="1"/>
  <c r="T112" i="30" s="1"/>
  <c r="T117" i="30" s="1"/>
  <c r="U29" i="30"/>
  <c r="W29" i="30" l="1"/>
  <c r="W39" i="30" s="1"/>
  <c r="W96" i="30" s="1"/>
  <c r="W98" i="30" s="1"/>
  <c r="W107" i="30" s="1"/>
  <c r="U39" i="30"/>
  <c r="U117" i="30"/>
  <c r="T120" i="30"/>
  <c r="W117" i="30" l="1"/>
  <c r="W120" i="30" s="1"/>
  <c r="U120" i="30"/>
  <c r="U96" i="30"/>
  <c r="Y39" i="30"/>
  <c r="Y96" i="30" l="1"/>
  <c r="U98" i="30"/>
  <c r="U107" i="30" l="1"/>
  <c r="Y98" i="30"/>
  <c r="U112" i="30" l="1"/>
  <c r="Y107" i="30"/>
  <c r="Y112" i="30" l="1"/>
  <c r="W112" i="30"/>
  <c r="U121" i="30"/>
  <c r="U122" i="30" s="1"/>
  <c r="F8" i="29" l="1"/>
  <c r="T85" i="19" l="1"/>
  <c r="S85" i="19"/>
  <c r="R85" i="19"/>
  <c r="Q85" i="19"/>
  <c r="P85" i="19"/>
  <c r="O85" i="19"/>
  <c r="N85" i="19"/>
  <c r="M85" i="19"/>
  <c r="L85" i="19"/>
  <c r="K85" i="19"/>
  <c r="J85" i="19"/>
  <c r="V12" i="2"/>
  <c r="AA12" i="31" s="1"/>
  <c r="W12" i="2"/>
  <c r="AB12" i="31" s="1"/>
  <c r="AC12" i="31" l="1"/>
  <c r="M13" i="2"/>
  <c r="T53" i="19"/>
  <c r="N53" i="19"/>
  <c r="O53" i="19" s="1"/>
  <c r="P53" i="19"/>
  <c r="Q53" i="19" s="1"/>
  <c r="R53" i="19" s="1"/>
  <c r="K53" i="19"/>
  <c r="L53" i="19" s="1"/>
  <c r="M53" i="19" s="1"/>
  <c r="I85" i="19" l="1"/>
  <c r="I84" i="19"/>
  <c r="N26" i="19"/>
  <c r="I92" i="19"/>
  <c r="J92" i="19" s="1"/>
  <c r="K92" i="19" s="1"/>
  <c r="L92" i="19" s="1"/>
  <c r="M92" i="19" s="1"/>
  <c r="N92" i="19" s="1"/>
  <c r="O92" i="19" s="1"/>
  <c r="P92" i="19" s="1"/>
  <c r="Q92" i="19" s="1"/>
  <c r="R92" i="19" s="1"/>
  <c r="S92" i="19" s="1"/>
  <c r="T92" i="19" s="1"/>
  <c r="L92" i="2"/>
  <c r="M92" i="2" s="1"/>
  <c r="T96" i="19" l="1"/>
  <c r="S96" i="19"/>
  <c r="R96" i="19"/>
  <c r="Q96" i="19"/>
  <c r="P96" i="19"/>
  <c r="O96" i="19"/>
  <c r="N96" i="19"/>
  <c r="M96" i="19"/>
  <c r="L96" i="19"/>
  <c r="K96" i="19"/>
  <c r="J96" i="19"/>
  <c r="I96" i="19"/>
  <c r="P96" i="2"/>
  <c r="M96" i="2"/>
  <c r="L96" i="2"/>
  <c r="K96" i="2"/>
  <c r="J96" i="2"/>
  <c r="I96" i="2"/>
  <c r="U90" i="19"/>
  <c r="Q91" i="32" s="1"/>
  <c r="E90" i="19"/>
  <c r="O90" i="2"/>
  <c r="Q90" i="2" s="1"/>
  <c r="V90" i="19" l="1"/>
  <c r="U19" i="19"/>
  <c r="Q19" i="32" s="1"/>
  <c r="D19" i="19"/>
  <c r="M84" i="2"/>
  <c r="K84" i="2"/>
  <c r="L84" i="2"/>
  <c r="C10" i="29"/>
  <c r="C11" i="29" s="1"/>
  <c r="C12" i="29" s="1"/>
  <c r="C13" i="29" s="1"/>
  <c r="C14" i="29" s="1"/>
  <c r="C15" i="29" s="1"/>
  <c r="C16" i="29" s="1"/>
  <c r="C17" i="29" s="1"/>
  <c r="C18" i="29" s="1"/>
  <c r="C19" i="29" s="1"/>
  <c r="C20" i="29" s="1"/>
  <c r="C21" i="29" s="1"/>
  <c r="D62" i="29"/>
  <c r="F3" i="29" s="1"/>
  <c r="E9" i="29"/>
  <c r="F9" i="29" s="1"/>
  <c r="C22" i="29" l="1"/>
  <c r="C23" i="29" s="1"/>
  <c r="C24" i="29" s="1"/>
  <c r="C25" i="29" s="1"/>
  <c r="C26" i="29" s="1"/>
  <c r="C27" i="29" s="1"/>
  <c r="C28" i="29" s="1"/>
  <c r="C29" i="29" s="1"/>
  <c r="C30" i="29" s="1"/>
  <c r="C31" i="29" s="1"/>
  <c r="C32" i="29" s="1"/>
  <c r="C33" i="29" s="1"/>
  <c r="C34" i="29" s="1"/>
  <c r="C35" i="29" s="1"/>
  <c r="C36" i="29" s="1"/>
  <c r="C37" i="29" s="1"/>
  <c r="C38" i="29" s="1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H21" i="29"/>
  <c r="H13" i="29"/>
  <c r="E10" i="29"/>
  <c r="H17" i="29"/>
  <c r="W90" i="19"/>
  <c r="H38" i="29" l="1"/>
  <c r="H25" i="29"/>
  <c r="E11" i="29"/>
  <c r="F10" i="29"/>
  <c r="E12" i="29" l="1"/>
  <c r="F11" i="29"/>
  <c r="E13" i="29" l="1"/>
  <c r="F12" i="29"/>
  <c r="H7" i="29" s="1"/>
  <c r="I34" i="19" l="1"/>
  <c r="I34" i="31"/>
  <c r="E14" i="29"/>
  <c r="F13" i="29"/>
  <c r="E15" i="29" l="1"/>
  <c r="F14" i="29"/>
  <c r="E16" i="29" l="1"/>
  <c r="F15" i="29"/>
  <c r="E17" i="29" l="1"/>
  <c r="F16" i="29"/>
  <c r="I7" i="29" s="1"/>
  <c r="J34" i="19" l="1"/>
  <c r="J34" i="31"/>
  <c r="E18" i="29"/>
  <c r="F17" i="29"/>
  <c r="E19" i="29" l="1"/>
  <c r="F18" i="29"/>
  <c r="E20" i="29" l="1"/>
  <c r="F19" i="29"/>
  <c r="E21" i="29" l="1"/>
  <c r="F20" i="29"/>
  <c r="K34" i="19" l="1"/>
  <c r="K34" i="31"/>
  <c r="E22" i="29"/>
  <c r="F21" i="29"/>
  <c r="E23" i="29" l="1"/>
  <c r="F22" i="29"/>
  <c r="E24" i="29" l="1"/>
  <c r="F23" i="29"/>
  <c r="D10" i="15"/>
  <c r="U34" i="15"/>
  <c r="U35" i="15" s="1"/>
  <c r="U36" i="15" s="1"/>
  <c r="U37" i="15" s="1"/>
  <c r="E10" i="15" l="1"/>
  <c r="E25" i="29"/>
  <c r="F24" i="29"/>
  <c r="F10" i="15" l="1"/>
  <c r="E26" i="29"/>
  <c r="F25" i="29"/>
  <c r="G25" i="29" s="1"/>
  <c r="S146" i="28"/>
  <c r="R146" i="28"/>
  <c r="P146" i="28"/>
  <c r="P106" i="28" s="1"/>
  <c r="P107" i="28" s="1"/>
  <c r="O146" i="28"/>
  <c r="N146" i="28"/>
  <c r="M146" i="28"/>
  <c r="M106" i="28" s="1"/>
  <c r="M107" i="28" s="1"/>
  <c r="L146" i="28"/>
  <c r="L106" i="28" s="1"/>
  <c r="L107" i="28" s="1"/>
  <c r="J146" i="28"/>
  <c r="I146" i="28"/>
  <c r="I106" i="28" s="1"/>
  <c r="Q143" i="28"/>
  <c r="Q146" i="28" s="1"/>
  <c r="Q106" i="28" s="1"/>
  <c r="Q107" i="28" s="1"/>
  <c r="K137" i="28"/>
  <c r="K146" i="28" s="1"/>
  <c r="K106" i="28" s="1"/>
  <c r="K107" i="28" s="1"/>
  <c r="H137" i="28"/>
  <c r="H146" i="28" s="1"/>
  <c r="F136" i="28"/>
  <c r="H132" i="28"/>
  <c r="U131" i="28"/>
  <c r="I130" i="28"/>
  <c r="J130" i="28" s="1"/>
  <c r="K130" i="28" s="1"/>
  <c r="G129" i="28"/>
  <c r="V120" i="28"/>
  <c r="H120" i="28"/>
  <c r="I120" i="28" s="1"/>
  <c r="J120" i="28" s="1"/>
  <c r="K120" i="28" s="1"/>
  <c r="L120" i="28" s="1"/>
  <c r="M120" i="28" s="1"/>
  <c r="N120" i="28" s="1"/>
  <c r="O120" i="28" s="1"/>
  <c r="P120" i="28" s="1"/>
  <c r="Q120" i="28" s="1"/>
  <c r="R120" i="28" s="1"/>
  <c r="S120" i="28" s="1"/>
  <c r="T120" i="28" s="1"/>
  <c r="U120" i="28" s="1"/>
  <c r="W120" i="28" s="1"/>
  <c r="V119" i="28"/>
  <c r="H119" i="28"/>
  <c r="W118" i="28"/>
  <c r="V118" i="28"/>
  <c r="U118" i="28"/>
  <c r="T118" i="28"/>
  <c r="S118" i="28"/>
  <c r="R118" i="28"/>
  <c r="Q118" i="28"/>
  <c r="P118" i="28"/>
  <c r="O118" i="28"/>
  <c r="N118" i="28"/>
  <c r="M118" i="28"/>
  <c r="L118" i="28"/>
  <c r="K118" i="28"/>
  <c r="J118" i="28"/>
  <c r="I118" i="28"/>
  <c r="V112" i="28"/>
  <c r="D107" i="28"/>
  <c r="V106" i="28"/>
  <c r="S106" i="28"/>
  <c r="S107" i="28" s="1"/>
  <c r="R106" i="28"/>
  <c r="R107" i="28" s="1"/>
  <c r="O106" i="28"/>
  <c r="O107" i="28" s="1"/>
  <c r="N106" i="28"/>
  <c r="N107" i="28" s="1"/>
  <c r="J106" i="28"/>
  <c r="J107" i="28" s="1"/>
  <c r="V105" i="28"/>
  <c r="W105" i="28" s="1"/>
  <c r="U105" i="28"/>
  <c r="E105" i="28"/>
  <c r="V104" i="28"/>
  <c r="U104" i="28"/>
  <c r="E104" i="28"/>
  <c r="D103" i="28"/>
  <c r="C102" i="28"/>
  <c r="C98" i="28"/>
  <c r="T96" i="28"/>
  <c r="S96" i="28"/>
  <c r="R96" i="28"/>
  <c r="Q96" i="28"/>
  <c r="P96" i="28"/>
  <c r="O96" i="28"/>
  <c r="N96" i="28"/>
  <c r="M96" i="28"/>
  <c r="L96" i="28"/>
  <c r="K96" i="28"/>
  <c r="J96" i="28"/>
  <c r="I96" i="28"/>
  <c r="D96" i="28"/>
  <c r="V94" i="28"/>
  <c r="U94" i="28"/>
  <c r="E94" i="28"/>
  <c r="V93" i="28"/>
  <c r="W93" i="28" s="1"/>
  <c r="U93" i="28"/>
  <c r="E93" i="28"/>
  <c r="V92" i="28"/>
  <c r="W92" i="28" s="1"/>
  <c r="U92" i="28"/>
  <c r="E92" i="28"/>
  <c r="D91" i="28"/>
  <c r="V89" i="28"/>
  <c r="W89" i="28" s="1"/>
  <c r="U89" i="28"/>
  <c r="E89" i="28"/>
  <c r="D87" i="28"/>
  <c r="V85" i="28"/>
  <c r="L85" i="28"/>
  <c r="K85" i="28"/>
  <c r="U85" i="28" s="1"/>
  <c r="E85" i="28"/>
  <c r="V84" i="28"/>
  <c r="T84" i="28"/>
  <c r="T87" i="28" s="1"/>
  <c r="S84" i="28"/>
  <c r="S87" i="28" s="1"/>
  <c r="R84" i="28"/>
  <c r="R87" i="28" s="1"/>
  <c r="Q84" i="28"/>
  <c r="Q87" i="28" s="1"/>
  <c r="P84" i="28"/>
  <c r="P87" i="28" s="1"/>
  <c r="O84" i="28"/>
  <c r="O87" i="28" s="1"/>
  <c r="N84" i="28"/>
  <c r="N87" i="28" s="1"/>
  <c r="M84" i="28"/>
  <c r="M87" i="28" s="1"/>
  <c r="K84" i="28"/>
  <c r="K87" i="28" s="1"/>
  <c r="J84" i="28"/>
  <c r="J87" i="28" s="1"/>
  <c r="I84" i="28"/>
  <c r="I87" i="28" s="1"/>
  <c r="E84" i="28"/>
  <c r="V83" i="28"/>
  <c r="W83" i="28" s="1"/>
  <c r="U83" i="28"/>
  <c r="E83" i="28"/>
  <c r="V82" i="28"/>
  <c r="U82" i="28"/>
  <c r="E82" i="28"/>
  <c r="D81" i="28"/>
  <c r="D79" i="28"/>
  <c r="V77" i="28"/>
  <c r="U77" i="28"/>
  <c r="E77" i="28"/>
  <c r="V76" i="28"/>
  <c r="L76" i="28"/>
  <c r="L84" i="28" s="1"/>
  <c r="L87" i="28" s="1"/>
  <c r="E76" i="28"/>
  <c r="V75" i="28"/>
  <c r="W75" i="28" s="1"/>
  <c r="U75" i="28"/>
  <c r="E75" i="28"/>
  <c r="V74" i="28"/>
  <c r="U74" i="28"/>
  <c r="E74" i="28"/>
  <c r="V73" i="28"/>
  <c r="U73" i="28"/>
  <c r="E73" i="28"/>
  <c r="F72" i="28"/>
  <c r="V70" i="28"/>
  <c r="U70" i="28"/>
  <c r="F70" i="28"/>
  <c r="V69" i="28"/>
  <c r="T69" i="28"/>
  <c r="T72" i="28" s="1"/>
  <c r="T79" i="28" s="1"/>
  <c r="S69" i="28"/>
  <c r="S72" i="28" s="1"/>
  <c r="S79" i="28" s="1"/>
  <c r="R69" i="28"/>
  <c r="R72" i="28" s="1"/>
  <c r="R79" i="28" s="1"/>
  <c r="Q69" i="28"/>
  <c r="Q72" i="28" s="1"/>
  <c r="Q79" i="28" s="1"/>
  <c r="P69" i="28"/>
  <c r="P72" i="28" s="1"/>
  <c r="P79" i="28" s="1"/>
  <c r="O69" i="28"/>
  <c r="O72" i="28" s="1"/>
  <c r="O79" i="28" s="1"/>
  <c r="N69" i="28"/>
  <c r="N72" i="28" s="1"/>
  <c r="N79" i="28" s="1"/>
  <c r="M69" i="28"/>
  <c r="M72" i="28" s="1"/>
  <c r="M79" i="28" s="1"/>
  <c r="L69" i="28"/>
  <c r="L72" i="28" s="1"/>
  <c r="L79" i="28" s="1"/>
  <c r="K69" i="28"/>
  <c r="K72" i="28" s="1"/>
  <c r="K79" i="28" s="1"/>
  <c r="J69" i="28"/>
  <c r="J72" i="28" s="1"/>
  <c r="J79" i="28" s="1"/>
  <c r="I69" i="28"/>
  <c r="I72" i="28" s="1"/>
  <c r="I79" i="28" s="1"/>
  <c r="F69" i="28"/>
  <c r="V68" i="28"/>
  <c r="U68" i="28"/>
  <c r="F68" i="28"/>
  <c r="V67" i="28"/>
  <c r="U67" i="28"/>
  <c r="F67" i="28"/>
  <c r="W66" i="28"/>
  <c r="E66" i="28"/>
  <c r="V65" i="28"/>
  <c r="U65" i="28"/>
  <c r="W65" i="28" s="1"/>
  <c r="D65" i="28"/>
  <c r="V64" i="28"/>
  <c r="U64" i="28"/>
  <c r="D64" i="28"/>
  <c r="C63" i="28"/>
  <c r="T61" i="28"/>
  <c r="S61" i="28"/>
  <c r="R61" i="28"/>
  <c r="Q61" i="28"/>
  <c r="P61" i="28"/>
  <c r="O61" i="28"/>
  <c r="N61" i="28"/>
  <c r="M61" i="28"/>
  <c r="L61" i="28"/>
  <c r="K61" i="28"/>
  <c r="J61" i="28"/>
  <c r="I61" i="28"/>
  <c r="C61" i="28"/>
  <c r="V59" i="28"/>
  <c r="U59" i="28"/>
  <c r="D59" i="28"/>
  <c r="V58" i="28"/>
  <c r="U58" i="28"/>
  <c r="D58" i="28"/>
  <c r="V57" i="28"/>
  <c r="W57" i="28" s="1"/>
  <c r="U57" i="28"/>
  <c r="D57" i="28"/>
  <c r="V56" i="28"/>
  <c r="W56" i="28" s="1"/>
  <c r="U56" i="28"/>
  <c r="D56" i="28"/>
  <c r="V55" i="28"/>
  <c r="U55" i="28"/>
  <c r="D55" i="28"/>
  <c r="V54" i="28"/>
  <c r="U54" i="28"/>
  <c r="D54" i="28"/>
  <c r="V53" i="28"/>
  <c r="U53" i="28"/>
  <c r="D53" i="28"/>
  <c r="C52" i="28"/>
  <c r="T50" i="28"/>
  <c r="S50" i="28"/>
  <c r="R50" i="28"/>
  <c r="Q50" i="28"/>
  <c r="P50" i="28"/>
  <c r="O50" i="28"/>
  <c r="N50" i="28"/>
  <c r="M50" i="28"/>
  <c r="L50" i="28"/>
  <c r="K50" i="28"/>
  <c r="J50" i="28"/>
  <c r="I50" i="28"/>
  <c r="C50" i="28"/>
  <c r="V48" i="28"/>
  <c r="U48" i="28"/>
  <c r="D48" i="28"/>
  <c r="V47" i="28"/>
  <c r="U47" i="28"/>
  <c r="D47" i="28"/>
  <c r="V46" i="28"/>
  <c r="U46" i="28"/>
  <c r="D46" i="28"/>
  <c r="V45" i="28"/>
  <c r="U45" i="28"/>
  <c r="D45" i="28"/>
  <c r="V44" i="28"/>
  <c r="U44" i="28"/>
  <c r="D44" i="28"/>
  <c r="C43" i="28"/>
  <c r="C41" i="28"/>
  <c r="V39" i="28"/>
  <c r="U39" i="28"/>
  <c r="D39" i="28"/>
  <c r="V38" i="28"/>
  <c r="U38" i="28"/>
  <c r="H38" i="28"/>
  <c r="D38" i="28"/>
  <c r="V37" i="28"/>
  <c r="U37" i="28"/>
  <c r="D37" i="28"/>
  <c r="V36" i="28"/>
  <c r="W36" i="28" s="1"/>
  <c r="U36" i="28"/>
  <c r="D36" i="28"/>
  <c r="V35" i="28"/>
  <c r="W35" i="28" s="1"/>
  <c r="U35" i="28"/>
  <c r="D35" i="28"/>
  <c r="V34" i="28"/>
  <c r="U34" i="28"/>
  <c r="D34" i="28"/>
  <c r="V33" i="28"/>
  <c r="U33" i="28"/>
  <c r="D33" i="28"/>
  <c r="V32" i="28"/>
  <c r="W32" i="28" s="1"/>
  <c r="U32" i="28"/>
  <c r="D32" i="28"/>
  <c r="V31" i="28"/>
  <c r="D31" i="28"/>
  <c r="V30" i="28"/>
  <c r="U30" i="28"/>
  <c r="D30" i="28"/>
  <c r="V29" i="28"/>
  <c r="W29" i="28" s="1"/>
  <c r="U29" i="28"/>
  <c r="D29" i="28"/>
  <c r="V28" i="28"/>
  <c r="W28" i="28" s="1"/>
  <c r="U28" i="28"/>
  <c r="D28" i="28"/>
  <c r="V27" i="28"/>
  <c r="U27" i="28"/>
  <c r="D27" i="28"/>
  <c r="V26" i="28"/>
  <c r="U26" i="28"/>
  <c r="D26" i="28"/>
  <c r="C25" i="28"/>
  <c r="C23" i="28"/>
  <c r="V21" i="28"/>
  <c r="T21" i="28"/>
  <c r="N21" i="28"/>
  <c r="D21" i="28"/>
  <c r="V20" i="28"/>
  <c r="U20" i="28"/>
  <c r="D20" i="28"/>
  <c r="V19" i="28"/>
  <c r="U19" i="28"/>
  <c r="D19" i="28"/>
  <c r="V18" i="28"/>
  <c r="U18" i="28"/>
  <c r="D18" i="28"/>
  <c r="V17" i="28"/>
  <c r="H17" i="28"/>
  <c r="D17" i="28"/>
  <c r="D15" i="28"/>
  <c r="V13" i="28"/>
  <c r="E13" i="28"/>
  <c r="AB12" i="28"/>
  <c r="AA12" i="28"/>
  <c r="Z12" i="28"/>
  <c r="V12" i="28"/>
  <c r="H12" i="28"/>
  <c r="E12" i="28"/>
  <c r="V11" i="28"/>
  <c r="U11" i="28"/>
  <c r="E11" i="28"/>
  <c r="D10" i="28"/>
  <c r="C9" i="28"/>
  <c r="B8" i="28"/>
  <c r="G5" i="28"/>
  <c r="W74" i="28" l="1"/>
  <c r="W70" i="28"/>
  <c r="W73" i="28"/>
  <c r="M10" i="15"/>
  <c r="L10" i="15" s="1"/>
  <c r="V15" i="28"/>
  <c r="V23" i="28" s="1"/>
  <c r="W45" i="28"/>
  <c r="W68" i="28"/>
  <c r="W19" i="28"/>
  <c r="W67" i="28"/>
  <c r="H122" i="28"/>
  <c r="I17" i="28" s="1"/>
  <c r="V87" i="28"/>
  <c r="W85" i="28"/>
  <c r="W18" i="28"/>
  <c r="W26" i="28"/>
  <c r="W30" i="28"/>
  <c r="W33" i="28"/>
  <c r="W37" i="28"/>
  <c r="W38" i="28"/>
  <c r="U61" i="28"/>
  <c r="W54" i="28"/>
  <c r="W58" i="28"/>
  <c r="U76" i="28"/>
  <c r="W76" i="28" s="1"/>
  <c r="W82" i="28"/>
  <c r="U96" i="28"/>
  <c r="U21" i="28"/>
  <c r="W46" i="28"/>
  <c r="V61" i="28"/>
  <c r="Y61" i="28" s="1"/>
  <c r="K7" i="29"/>
  <c r="L34" i="31" s="1"/>
  <c r="E27" i="29"/>
  <c r="F26" i="29"/>
  <c r="W27" i="28"/>
  <c r="W34" i="28"/>
  <c r="W39" i="28"/>
  <c r="W55" i="28"/>
  <c r="W59" i="28"/>
  <c r="W94" i="28"/>
  <c r="W96" i="28" s="1"/>
  <c r="W53" i="28"/>
  <c r="AC12" i="28"/>
  <c r="AD12" i="28" s="1"/>
  <c r="W21" i="28"/>
  <c r="W44" i="28"/>
  <c r="W48" i="28"/>
  <c r="W64" i="28"/>
  <c r="Y89" i="28"/>
  <c r="V122" i="28"/>
  <c r="I13" i="28"/>
  <c r="O12" i="28"/>
  <c r="W20" i="28"/>
  <c r="V50" i="28"/>
  <c r="W47" i="28"/>
  <c r="V72" i="28"/>
  <c r="V79" i="28" s="1"/>
  <c r="W77" i="28"/>
  <c r="J13" i="28"/>
  <c r="K13" i="28" s="1"/>
  <c r="L13" i="28" s="1"/>
  <c r="M13" i="28" s="1"/>
  <c r="N13" i="28" s="1"/>
  <c r="O13" i="28" s="1"/>
  <c r="P13" i="28" s="1"/>
  <c r="Q13" i="28" s="1"/>
  <c r="R13" i="28" s="1"/>
  <c r="S13" i="28" s="1"/>
  <c r="T13" i="28" s="1"/>
  <c r="L130" i="28"/>
  <c r="L12" i="28"/>
  <c r="I12" i="28"/>
  <c r="U50" i="28"/>
  <c r="U84" i="28"/>
  <c r="V107" i="28"/>
  <c r="W104" i="28"/>
  <c r="W11" i="28"/>
  <c r="J12" i="28"/>
  <c r="V41" i="28"/>
  <c r="U127" i="28"/>
  <c r="I127" i="28"/>
  <c r="I107" i="28"/>
  <c r="V96" i="28"/>
  <c r="Y96" i="28" s="1"/>
  <c r="U69" i="28"/>
  <c r="W69" i="28" s="1"/>
  <c r="J129" i="2"/>
  <c r="N10" i="15" l="1"/>
  <c r="W72" i="28"/>
  <c r="W79" i="28"/>
  <c r="W61" i="28"/>
  <c r="W50" i="28"/>
  <c r="U72" i="28"/>
  <c r="U79" i="28" s="1"/>
  <c r="Y79" i="28" s="1"/>
  <c r="U13" i="28"/>
  <c r="W13" i="28" s="1"/>
  <c r="L34" i="19"/>
  <c r="E28" i="29"/>
  <c r="F27" i="29"/>
  <c r="Y50" i="28"/>
  <c r="V98" i="28"/>
  <c r="K12" i="28"/>
  <c r="J15" i="28"/>
  <c r="I15" i="28"/>
  <c r="I23" i="28" s="1"/>
  <c r="M130" i="28"/>
  <c r="U87" i="28"/>
  <c r="Y87" i="28" s="1"/>
  <c r="W84" i="28"/>
  <c r="W87" i="28" s="1"/>
  <c r="O15" i="28"/>
  <c r="I129" i="28"/>
  <c r="L15" i="28"/>
  <c r="R12" i="28"/>
  <c r="R15" i="28" s="1"/>
  <c r="Y72" i="28" l="1"/>
  <c r="E29" i="29"/>
  <c r="F28" i="29"/>
  <c r="K15" i="28"/>
  <c r="M12" i="28"/>
  <c r="N130" i="28"/>
  <c r="I31" i="28"/>
  <c r="I128" i="28"/>
  <c r="V100" i="28"/>
  <c r="V109" i="28" s="1"/>
  <c r="V114" i="28" s="1"/>
  <c r="E30" i="29" l="1"/>
  <c r="F29" i="29"/>
  <c r="M15" i="28"/>
  <c r="N12" i="28"/>
  <c r="O130" i="28"/>
  <c r="I41" i="28"/>
  <c r="I98" i="28" s="1"/>
  <c r="I100" i="28" s="1"/>
  <c r="I109" i="28" s="1"/>
  <c r="I112" i="28"/>
  <c r="I132" i="28"/>
  <c r="J127" i="28" s="1"/>
  <c r="M34" i="31" l="1"/>
  <c r="E31" i="29"/>
  <c r="F30" i="29"/>
  <c r="G30" i="29" s="1"/>
  <c r="J129" i="28"/>
  <c r="P130" i="28"/>
  <c r="P12" i="28"/>
  <c r="N15" i="28"/>
  <c r="I114" i="28"/>
  <c r="I119" i="28" s="1"/>
  <c r="I122" i="28" s="1"/>
  <c r="J17" i="28" s="1"/>
  <c r="E32" i="29" l="1"/>
  <c r="F31" i="29"/>
  <c r="M34" i="19"/>
  <c r="P15" i="28"/>
  <c r="Q12" i="28"/>
  <c r="Q130" i="28"/>
  <c r="J31" i="28"/>
  <c r="J128" i="28"/>
  <c r="J23" i="28"/>
  <c r="E33" i="29" l="1"/>
  <c r="F32" i="29"/>
  <c r="J41" i="28"/>
  <c r="J98" i="28" s="1"/>
  <c r="J100" i="28" s="1"/>
  <c r="J109" i="28" s="1"/>
  <c r="J112" i="28"/>
  <c r="J132" i="28"/>
  <c r="K127" i="28" s="1"/>
  <c r="Q15" i="28"/>
  <c r="S12" i="28"/>
  <c r="R130" i="28"/>
  <c r="E34" i="29" l="1"/>
  <c r="F33" i="29"/>
  <c r="J114" i="28"/>
  <c r="J119" i="28" s="1"/>
  <c r="J122" i="28" s="1"/>
  <c r="K17" i="28" s="1"/>
  <c r="K23" i="28" s="1"/>
  <c r="S15" i="28"/>
  <c r="T12" i="28"/>
  <c r="T15" i="28" s="1"/>
  <c r="S130" i="28"/>
  <c r="K129" i="28"/>
  <c r="G34" i="29" l="1"/>
  <c r="N34" i="31"/>
  <c r="E35" i="29"/>
  <c r="F34" i="29"/>
  <c r="U12" i="28"/>
  <c r="U15" i="28" s="1"/>
  <c r="K31" i="28"/>
  <c r="K128" i="28"/>
  <c r="T130" i="28"/>
  <c r="AD13" i="28" l="1"/>
  <c r="W12" i="28"/>
  <c r="W15" i="28" s="1"/>
  <c r="E36" i="29"/>
  <c r="F35" i="29"/>
  <c r="N34" i="19"/>
  <c r="U130" i="28"/>
  <c r="K112" i="28"/>
  <c r="K132" i="28"/>
  <c r="L127" i="28" s="1"/>
  <c r="Y15" i="28"/>
  <c r="K41" i="28"/>
  <c r="K98" i="28" s="1"/>
  <c r="K100" i="28" s="1"/>
  <c r="K109" i="28" s="1"/>
  <c r="E37" i="29" l="1"/>
  <c r="F36" i="29"/>
  <c r="L129" i="28"/>
  <c r="K114" i="28"/>
  <c r="K119" i="28" s="1"/>
  <c r="K122" i="28" s="1"/>
  <c r="L17" i="28" s="1"/>
  <c r="E38" i="29" l="1"/>
  <c r="F37" i="29"/>
  <c r="L23" i="28"/>
  <c r="L31" i="28"/>
  <c r="L128" i="28"/>
  <c r="G38" i="29" l="1"/>
  <c r="E39" i="29"/>
  <c r="F38" i="29"/>
  <c r="L41" i="28"/>
  <c r="L98" i="28" s="1"/>
  <c r="L100" i="28" s="1"/>
  <c r="L109" i="28" s="1"/>
  <c r="L112" i="28"/>
  <c r="L132" i="28"/>
  <c r="M127" i="28" s="1"/>
  <c r="N7" i="29" l="1"/>
  <c r="O34" i="31" s="1"/>
  <c r="E40" i="29"/>
  <c r="F39" i="29"/>
  <c r="L114" i="28"/>
  <c r="L119" i="28" s="1"/>
  <c r="L122" i="28" s="1"/>
  <c r="M17" i="28" s="1"/>
  <c r="M23" i="28" s="1"/>
  <c r="M129" i="28"/>
  <c r="E41" i="29" l="1"/>
  <c r="F40" i="29"/>
  <c r="O34" i="19"/>
  <c r="M31" i="28"/>
  <c r="M128" i="28"/>
  <c r="E42" i="29" l="1"/>
  <c r="F41" i="29"/>
  <c r="M112" i="28"/>
  <c r="M132" i="28"/>
  <c r="N127" i="28" s="1"/>
  <c r="M41" i="28"/>
  <c r="M98" i="28" s="1"/>
  <c r="M100" i="28" s="1"/>
  <c r="M109" i="28" s="1"/>
  <c r="E43" i="29" l="1"/>
  <c r="F42" i="29"/>
  <c r="M114" i="28"/>
  <c r="M119" i="28" s="1"/>
  <c r="M122" i="28" s="1"/>
  <c r="N17" i="28" s="1"/>
  <c r="N23" i="28" s="1"/>
  <c r="N129" i="28"/>
  <c r="P34" i="31" l="1"/>
  <c r="E44" i="29"/>
  <c r="F43" i="29"/>
  <c r="G43" i="29" s="1"/>
  <c r="N31" i="28"/>
  <c r="N41" i="28" s="1"/>
  <c r="N98" i="28" s="1"/>
  <c r="N100" i="28" s="1"/>
  <c r="N109" i="28" s="1"/>
  <c r="N128" i="28"/>
  <c r="E45" i="29" l="1"/>
  <c r="F44" i="29"/>
  <c r="P34" i="19"/>
  <c r="N112" i="28"/>
  <c r="N114" i="28" s="1"/>
  <c r="N119" i="28" s="1"/>
  <c r="N122" i="28" s="1"/>
  <c r="O17" i="28" s="1"/>
  <c r="O23" i="28" s="1"/>
  <c r="N132" i="28"/>
  <c r="O127" i="28" s="1"/>
  <c r="E46" i="29" l="1"/>
  <c r="F45" i="29"/>
  <c r="O129" i="28"/>
  <c r="E47" i="29" l="1"/>
  <c r="F46" i="29"/>
  <c r="O31" i="28"/>
  <c r="O41" i="28" s="1"/>
  <c r="O98" i="28" s="1"/>
  <c r="O100" i="28" s="1"/>
  <c r="O109" i="28" s="1"/>
  <c r="O128" i="28"/>
  <c r="Q34" i="31" l="1"/>
  <c r="E48" i="29"/>
  <c r="F47" i="29"/>
  <c r="G47" i="29" s="1"/>
  <c r="O112" i="28"/>
  <c r="O114" i="28" s="1"/>
  <c r="O119" i="28" s="1"/>
  <c r="O122" i="28" s="1"/>
  <c r="P17" i="28" s="1"/>
  <c r="P23" i="28" s="1"/>
  <c r="O132" i="28"/>
  <c r="P127" i="28" s="1"/>
  <c r="Q34" i="19" l="1"/>
  <c r="E49" i="29"/>
  <c r="F48" i="29"/>
  <c r="P129" i="28"/>
  <c r="E50" i="29" l="1"/>
  <c r="F49" i="29"/>
  <c r="P31" i="28"/>
  <c r="P41" i="28" s="1"/>
  <c r="P98" i="28" s="1"/>
  <c r="P100" i="28" s="1"/>
  <c r="P109" i="28" s="1"/>
  <c r="P128" i="28"/>
  <c r="E51" i="29" l="1"/>
  <c r="F50" i="29"/>
  <c r="P112" i="28"/>
  <c r="P114" i="28" s="1"/>
  <c r="P119" i="28" s="1"/>
  <c r="P122" i="28" s="1"/>
  <c r="Q17" i="28" s="1"/>
  <c r="Q23" i="28" s="1"/>
  <c r="P132" i="28"/>
  <c r="Q127" i="28" s="1"/>
  <c r="E52" i="29" l="1"/>
  <c r="F51" i="29"/>
  <c r="Q129" i="28"/>
  <c r="Q7" i="29" l="1"/>
  <c r="E53" i="29"/>
  <c r="F52" i="29"/>
  <c r="Q31" i="28"/>
  <c r="Q41" i="28" s="1"/>
  <c r="Q98" i="28" s="1"/>
  <c r="Q100" i="28" s="1"/>
  <c r="Q109" i="28" s="1"/>
  <c r="Q128" i="28"/>
  <c r="R34" i="19" l="1"/>
  <c r="R34" i="31"/>
  <c r="E54" i="29"/>
  <c r="F53" i="29"/>
  <c r="Q112" i="28"/>
  <c r="Q114" i="28" s="1"/>
  <c r="Q119" i="28" s="1"/>
  <c r="Q122" i="28" s="1"/>
  <c r="R17" i="28" s="1"/>
  <c r="R23" i="28" s="1"/>
  <c r="Q132" i="28"/>
  <c r="R127" i="28" s="1"/>
  <c r="E55" i="29" l="1"/>
  <c r="F54" i="29"/>
  <c r="R129" i="28"/>
  <c r="E56" i="29" l="1"/>
  <c r="F55" i="29"/>
  <c r="R31" i="28"/>
  <c r="R41" i="28" s="1"/>
  <c r="R98" i="28" s="1"/>
  <c r="R100" i="28" s="1"/>
  <c r="R109" i="28" s="1"/>
  <c r="R128" i="28"/>
  <c r="S34" i="19" l="1"/>
  <c r="S34" i="31"/>
  <c r="E57" i="29"/>
  <c r="F56" i="29"/>
  <c r="R112" i="28"/>
  <c r="R114" i="28" s="1"/>
  <c r="R119" i="28" s="1"/>
  <c r="R122" i="28" s="1"/>
  <c r="S17" i="28" s="1"/>
  <c r="S23" i="28" s="1"/>
  <c r="R132" i="28"/>
  <c r="S127" i="28" s="1"/>
  <c r="E58" i="29" l="1"/>
  <c r="F57" i="29"/>
  <c r="S129" i="28"/>
  <c r="E59" i="29" l="1"/>
  <c r="F58" i="29"/>
  <c r="S31" i="28"/>
  <c r="S41" i="28" s="1"/>
  <c r="S98" i="28" s="1"/>
  <c r="S100" i="28" s="1"/>
  <c r="S109" i="28" s="1"/>
  <c r="S128" i="28"/>
  <c r="E60" i="29" l="1"/>
  <c r="F60" i="29" s="1"/>
  <c r="F59" i="29"/>
  <c r="G60" i="29" s="1"/>
  <c r="S112" i="28"/>
  <c r="S114" i="28" s="1"/>
  <c r="S119" i="28" s="1"/>
  <c r="S122" i="28" s="1"/>
  <c r="T17" i="28" s="1"/>
  <c r="S132" i="28"/>
  <c r="T127" i="28" s="1"/>
  <c r="F62" i="29" l="1"/>
  <c r="T23" i="28"/>
  <c r="U17" i="28"/>
  <c r="T129" i="28"/>
  <c r="S7" i="29" l="1"/>
  <c r="T34" i="31" s="1"/>
  <c r="U34" i="31" s="1"/>
  <c r="W34" i="31" s="1"/>
  <c r="G62" i="29"/>
  <c r="T31" i="28"/>
  <c r="T128" i="28"/>
  <c r="U129" i="28"/>
  <c r="W17" i="28"/>
  <c r="W23" i="28" s="1"/>
  <c r="U23" i="28"/>
  <c r="F2" i="29" l="1"/>
  <c r="I3" i="29"/>
  <c r="I4" i="29" s="1"/>
  <c r="T34" i="19"/>
  <c r="T7" i="29"/>
  <c r="T8" i="29" s="1"/>
  <c r="T112" i="28"/>
  <c r="U112" i="28" s="1"/>
  <c r="W112" i="28" s="1"/>
  <c r="U128" i="28"/>
  <c r="U132" i="28" s="1"/>
  <c r="T132" i="28"/>
  <c r="T144" i="28" s="1"/>
  <c r="T146" i="28" s="1"/>
  <c r="T106" i="28" s="1"/>
  <c r="Y23" i="28"/>
  <c r="T41" i="28"/>
  <c r="T98" i="28" s="1"/>
  <c r="T100" i="28" s="1"/>
  <c r="U31" i="28"/>
  <c r="T107" i="28" l="1"/>
  <c r="T109" i="28" s="1"/>
  <c r="T114" i="28" s="1"/>
  <c r="T119" i="28" s="1"/>
  <c r="U106" i="28"/>
  <c r="W31" i="28"/>
  <c r="W41" i="28" s="1"/>
  <c r="W98" i="28" s="1"/>
  <c r="W100" i="28" s="1"/>
  <c r="U41" i="28"/>
  <c r="U119" i="28" l="1"/>
  <c r="T122" i="28"/>
  <c r="U107" i="28"/>
  <c r="Y107" i="28" s="1"/>
  <c r="W106" i="28"/>
  <c r="W107" i="28" s="1"/>
  <c r="W109" i="28" s="1"/>
  <c r="U98" i="28"/>
  <c r="Y41" i="28"/>
  <c r="Y98" i="28" l="1"/>
  <c r="U100" i="28"/>
  <c r="W119" i="28"/>
  <c r="W122" i="28" s="1"/>
  <c r="U122" i="28"/>
  <c r="Y100" i="28" l="1"/>
  <c r="U109" i="28"/>
  <c r="U114" i="28" l="1"/>
  <c r="Y109" i="28"/>
  <c r="W114" i="28" l="1"/>
  <c r="Y114" i="28"/>
  <c r="U123" i="28"/>
  <c r="U124" i="28" s="1"/>
  <c r="O19" i="2" l="1"/>
  <c r="Q19" i="2" l="1"/>
  <c r="V19" i="19"/>
  <c r="W19" i="19" s="1"/>
  <c r="J119" i="2"/>
  <c r="K119" i="2" s="1"/>
  <c r="L119" i="2" s="1"/>
  <c r="L129" i="2"/>
  <c r="J126" i="2"/>
  <c r="U57" i="19"/>
  <c r="Q58" i="32" s="1"/>
  <c r="O57" i="2"/>
  <c r="Q57" i="2" s="1"/>
  <c r="U45" i="19"/>
  <c r="Q45" i="32" s="1"/>
  <c r="D45" i="19"/>
  <c r="O45" i="2"/>
  <c r="Q45" i="2" s="1"/>
  <c r="V57" i="19" l="1"/>
  <c r="W57" i="19" s="1"/>
  <c r="V45" i="19"/>
  <c r="W45" i="19" s="1"/>
  <c r="K107" i="2"/>
  <c r="J107" i="2"/>
  <c r="K87" i="2"/>
  <c r="J87" i="2"/>
  <c r="J71" i="2"/>
  <c r="J78" i="2" s="1"/>
  <c r="K60" i="2"/>
  <c r="J60" i="2"/>
  <c r="K48" i="2"/>
  <c r="J48" i="2"/>
  <c r="J38" i="2"/>
  <c r="J17" i="2"/>
  <c r="K15" i="2"/>
  <c r="J15" i="2"/>
  <c r="J98" i="2" l="1"/>
  <c r="J22" i="2"/>
  <c r="J127" i="2"/>
  <c r="J131" i="2" s="1"/>
  <c r="K126" i="2" s="1"/>
  <c r="T20" i="19"/>
  <c r="N20" i="19"/>
  <c r="D20" i="19"/>
  <c r="J100" i="2" l="1"/>
  <c r="J109" i="2" s="1"/>
  <c r="J114" i="2" s="1"/>
  <c r="J118" i="2" s="1"/>
  <c r="J121" i="2" s="1"/>
  <c r="K127" i="2"/>
  <c r="K38" i="2"/>
  <c r="K131" i="2" l="1"/>
  <c r="L126" i="2" s="1"/>
  <c r="K137" i="19" l="1"/>
  <c r="Q143" i="19" l="1"/>
  <c r="K84" i="19" l="1"/>
  <c r="J84" i="19"/>
  <c r="T84" i="19"/>
  <c r="S84" i="19"/>
  <c r="R84" i="19"/>
  <c r="Q84" i="19"/>
  <c r="P84" i="19"/>
  <c r="O84" i="19"/>
  <c r="N84" i="19"/>
  <c r="M84" i="19"/>
  <c r="L84" i="19"/>
  <c r="F69" i="19"/>
  <c r="F67" i="19"/>
  <c r="F66" i="19"/>
  <c r="F71" i="19"/>
  <c r="U27" i="19" l="1"/>
  <c r="Q27" i="32" s="1"/>
  <c r="F136" i="19"/>
  <c r="W65" i="19"/>
  <c r="U105" i="19"/>
  <c r="Q106" i="32" s="1"/>
  <c r="U94" i="19"/>
  <c r="Q95" i="32" s="1"/>
  <c r="U93" i="19"/>
  <c r="U92" i="19"/>
  <c r="Q93" i="32" s="1"/>
  <c r="U85" i="19"/>
  <c r="Q86" i="32" s="1"/>
  <c r="U84" i="19"/>
  <c r="Q85" i="32" s="1"/>
  <c r="U83" i="19"/>
  <c r="Q84" i="32" s="1"/>
  <c r="U81" i="19"/>
  <c r="U76" i="19"/>
  <c r="Q77" i="32" s="1"/>
  <c r="U75" i="19"/>
  <c r="Q76" i="32" s="1"/>
  <c r="U74" i="19"/>
  <c r="Q75" i="32" s="1"/>
  <c r="U73" i="19"/>
  <c r="Q74" i="32" s="1"/>
  <c r="U72" i="19"/>
  <c r="Q73" i="32" s="1"/>
  <c r="U67" i="19"/>
  <c r="Q68" i="32" s="1"/>
  <c r="U66" i="19"/>
  <c r="U64" i="19"/>
  <c r="Q65" i="32" s="1"/>
  <c r="U58" i="19"/>
  <c r="Q59" i="32" s="1"/>
  <c r="U56" i="19"/>
  <c r="Q57" i="32" s="1"/>
  <c r="U54" i="19"/>
  <c r="Q55" i="32" s="1"/>
  <c r="U53" i="19"/>
  <c r="Q54" i="32" s="1"/>
  <c r="U52" i="19"/>
  <c r="Q53" i="32" s="1"/>
  <c r="U51" i="19"/>
  <c r="U46" i="19"/>
  <c r="Q47" i="32" s="1"/>
  <c r="U44" i="19"/>
  <c r="Q44" i="32" s="1"/>
  <c r="U43" i="19"/>
  <c r="Q43" i="32" s="1"/>
  <c r="U42" i="19"/>
  <c r="Q42" i="32" s="1"/>
  <c r="U41" i="19"/>
  <c r="U36" i="19"/>
  <c r="Q36" i="32" s="1"/>
  <c r="U35" i="19"/>
  <c r="Q35" i="32" s="1"/>
  <c r="U34" i="19"/>
  <c r="Q34" i="32" s="1"/>
  <c r="U33" i="19"/>
  <c r="Q33" i="32" s="1"/>
  <c r="U32" i="19"/>
  <c r="Q32" i="32" s="1"/>
  <c r="U31" i="19"/>
  <c r="Q31" i="32" s="1"/>
  <c r="U30" i="19"/>
  <c r="Q30" i="32" s="1"/>
  <c r="U28" i="19"/>
  <c r="Q28" i="32" s="1"/>
  <c r="U26" i="19"/>
  <c r="Q26" i="32" s="1"/>
  <c r="U20" i="19"/>
  <c r="Q20" i="32" s="1"/>
  <c r="U18" i="19"/>
  <c r="Q18" i="32" s="1"/>
  <c r="U11" i="19"/>
  <c r="Q11" i="32" s="1"/>
  <c r="H17" i="19"/>
  <c r="H12" i="19"/>
  <c r="W118" i="19"/>
  <c r="V118" i="19"/>
  <c r="U118" i="19"/>
  <c r="T87" i="19"/>
  <c r="S87" i="19"/>
  <c r="R87" i="19"/>
  <c r="Q87" i="19"/>
  <c r="P87" i="19"/>
  <c r="O87" i="19"/>
  <c r="N87" i="19"/>
  <c r="M87" i="19"/>
  <c r="L87" i="19"/>
  <c r="K87" i="19"/>
  <c r="J87" i="19"/>
  <c r="T71" i="19"/>
  <c r="S71" i="19"/>
  <c r="L71" i="19"/>
  <c r="K71" i="19"/>
  <c r="J71" i="19"/>
  <c r="R60" i="19"/>
  <c r="J60" i="19"/>
  <c r="T60" i="19"/>
  <c r="S60" i="19"/>
  <c r="Q60" i="19"/>
  <c r="P60" i="19"/>
  <c r="O60" i="19"/>
  <c r="N60" i="19"/>
  <c r="M60" i="19"/>
  <c r="L60" i="19"/>
  <c r="K60" i="19"/>
  <c r="T48" i="19"/>
  <c r="S48" i="19"/>
  <c r="R48" i="19"/>
  <c r="Q48" i="19"/>
  <c r="P48" i="19"/>
  <c r="O48" i="19"/>
  <c r="N48" i="19"/>
  <c r="M48" i="19"/>
  <c r="L48" i="19"/>
  <c r="K48" i="19"/>
  <c r="J48" i="19"/>
  <c r="I87" i="19"/>
  <c r="I71" i="19"/>
  <c r="U63" i="19"/>
  <c r="Q64" i="32" s="1"/>
  <c r="I60" i="19"/>
  <c r="I48" i="19"/>
  <c r="U25" i="19"/>
  <c r="Q25" i="32" s="1"/>
  <c r="D107" i="19"/>
  <c r="E105" i="19"/>
  <c r="E104" i="19"/>
  <c r="D103" i="19"/>
  <c r="C102" i="19"/>
  <c r="C98" i="19"/>
  <c r="D96" i="19"/>
  <c r="E94" i="19"/>
  <c r="E93" i="19"/>
  <c r="E92" i="19"/>
  <c r="D89" i="19"/>
  <c r="D87" i="19"/>
  <c r="E85" i="19"/>
  <c r="E84" i="19"/>
  <c r="E83" i="19"/>
  <c r="E81" i="19"/>
  <c r="D80" i="19"/>
  <c r="D78" i="19"/>
  <c r="E76" i="19"/>
  <c r="E75" i="19"/>
  <c r="E74" i="19"/>
  <c r="E73" i="19"/>
  <c r="E72" i="19"/>
  <c r="E65" i="19"/>
  <c r="D64" i="19"/>
  <c r="D63" i="19"/>
  <c r="C62" i="19"/>
  <c r="C60" i="19"/>
  <c r="D58" i="19"/>
  <c r="D56" i="19"/>
  <c r="D55" i="19"/>
  <c r="D54" i="19"/>
  <c r="D53" i="19"/>
  <c r="D52" i="19"/>
  <c r="D51" i="19"/>
  <c r="C50" i="19"/>
  <c r="C48" i="19"/>
  <c r="D46" i="19"/>
  <c r="D44" i="19"/>
  <c r="D43" i="19"/>
  <c r="D42" i="19"/>
  <c r="D41" i="19"/>
  <c r="C40" i="19"/>
  <c r="C38" i="19"/>
  <c r="D36" i="19"/>
  <c r="D35" i="19"/>
  <c r="D34" i="19"/>
  <c r="D33" i="19"/>
  <c r="D31" i="19"/>
  <c r="D30" i="19"/>
  <c r="D29" i="19"/>
  <c r="D28" i="19"/>
  <c r="D27" i="19"/>
  <c r="D26" i="19"/>
  <c r="D25" i="19"/>
  <c r="C24" i="19"/>
  <c r="C22" i="19"/>
  <c r="D18" i="19"/>
  <c r="D17" i="19"/>
  <c r="D15" i="19"/>
  <c r="E13" i="19"/>
  <c r="E12" i="19"/>
  <c r="E11" i="19"/>
  <c r="D10" i="19"/>
  <c r="C9" i="19"/>
  <c r="B8" i="19"/>
  <c r="P107" i="2"/>
  <c r="O94" i="2"/>
  <c r="V94" i="19" s="1"/>
  <c r="O93" i="2"/>
  <c r="Q93" i="2" s="1"/>
  <c r="O92" i="2"/>
  <c r="O76" i="2"/>
  <c r="V76" i="19" s="1"/>
  <c r="O75" i="2"/>
  <c r="V75" i="19" s="1"/>
  <c r="O74" i="2"/>
  <c r="V74" i="19" s="1"/>
  <c r="O73" i="2"/>
  <c r="V73" i="19" s="1"/>
  <c r="O72" i="2"/>
  <c r="V72" i="19" s="1"/>
  <c r="O67" i="2"/>
  <c r="V67" i="19" s="1"/>
  <c r="O66" i="2"/>
  <c r="Q66" i="2" s="1"/>
  <c r="O64" i="2"/>
  <c r="V64" i="19" s="1"/>
  <c r="O58" i="2"/>
  <c r="Q58" i="2" s="1"/>
  <c r="O56" i="2"/>
  <c r="Q56" i="2" s="1"/>
  <c r="O54" i="2"/>
  <c r="V54" i="19" s="1"/>
  <c r="O52" i="2"/>
  <c r="Q52" i="2" s="1"/>
  <c r="O51" i="2"/>
  <c r="V51" i="19" s="1"/>
  <c r="O46" i="2"/>
  <c r="V46" i="19" s="1"/>
  <c r="O44" i="2"/>
  <c r="V44" i="19" s="1"/>
  <c r="O43" i="2"/>
  <c r="Q43" i="2" s="1"/>
  <c r="O42" i="2"/>
  <c r="V42" i="19" s="1"/>
  <c r="O41" i="2"/>
  <c r="V41" i="19" s="1"/>
  <c r="O36" i="2"/>
  <c r="Q36" i="2" s="1"/>
  <c r="O35" i="2"/>
  <c r="Q35" i="2" s="1"/>
  <c r="O34" i="2"/>
  <c r="O33" i="2"/>
  <c r="V33" i="19" s="1"/>
  <c r="O32" i="2"/>
  <c r="V32" i="19" s="1"/>
  <c r="O31" i="2"/>
  <c r="Q31" i="2" s="1"/>
  <c r="O30" i="2"/>
  <c r="V30" i="19" s="1"/>
  <c r="O28" i="2"/>
  <c r="V28" i="19" s="1"/>
  <c r="O27" i="2"/>
  <c r="O20" i="2"/>
  <c r="V20" i="19" s="1"/>
  <c r="O53" i="2"/>
  <c r="Q53" i="2" s="1"/>
  <c r="H12" i="31" l="1"/>
  <c r="Y12" i="32"/>
  <c r="P49" i="32"/>
  <c r="S49" i="32" s="1"/>
  <c r="Q41" i="32"/>
  <c r="Q49" i="32" s="1"/>
  <c r="P97" i="32"/>
  <c r="S97" i="32" s="1"/>
  <c r="Q94" i="32"/>
  <c r="Q97" i="32" s="1"/>
  <c r="P88" i="32"/>
  <c r="S88" i="32" s="1"/>
  <c r="Q82" i="32"/>
  <c r="Q88" i="32" s="1"/>
  <c r="Q52" i="32"/>
  <c r="I13" i="19"/>
  <c r="J13" i="19" s="1"/>
  <c r="K13" i="19" s="1"/>
  <c r="L13" i="19" s="1"/>
  <c r="M13" i="19" s="1"/>
  <c r="N13" i="19" s="1"/>
  <c r="O13" i="19" s="1"/>
  <c r="P13" i="19" s="1"/>
  <c r="Q13" i="19" s="1"/>
  <c r="R13" i="19" s="1"/>
  <c r="S13" i="19" s="1"/>
  <c r="T13" i="19" s="1"/>
  <c r="W20" i="19"/>
  <c r="U96" i="19"/>
  <c r="V92" i="19"/>
  <c r="O96" i="2"/>
  <c r="S96" i="2" s="1"/>
  <c r="V27" i="19"/>
  <c r="W27" i="19" s="1"/>
  <c r="Q27" i="2"/>
  <c r="V34" i="19"/>
  <c r="W34" i="19" s="1"/>
  <c r="W32" i="19"/>
  <c r="Q54" i="2"/>
  <c r="Q67" i="2"/>
  <c r="Q30" i="2"/>
  <c r="Q73" i="2"/>
  <c r="Q33" i="2"/>
  <c r="Q42" i="2"/>
  <c r="Q64" i="2"/>
  <c r="Q34" i="2"/>
  <c r="Q92" i="2"/>
  <c r="W30" i="19"/>
  <c r="W33" i="19"/>
  <c r="W41" i="19"/>
  <c r="W46" i="19"/>
  <c r="W54" i="19"/>
  <c r="W72" i="19"/>
  <c r="W76" i="19"/>
  <c r="W94" i="19"/>
  <c r="V31" i="19"/>
  <c r="W31" i="19" s="1"/>
  <c r="V43" i="19"/>
  <c r="W43" i="19" s="1"/>
  <c r="V52" i="19"/>
  <c r="W52" i="19" s="1"/>
  <c r="Q74" i="2"/>
  <c r="Q32" i="2"/>
  <c r="Q44" i="2"/>
  <c r="Q75" i="2"/>
  <c r="Q94" i="2"/>
  <c r="W42" i="19"/>
  <c r="W51" i="19"/>
  <c r="W67" i="19"/>
  <c r="V35" i="19"/>
  <c r="W35" i="19" s="1"/>
  <c r="Q51" i="2"/>
  <c r="Q28" i="2"/>
  <c r="Q41" i="2"/>
  <c r="Q46" i="2"/>
  <c r="Q72" i="2"/>
  <c r="Q76" i="2"/>
  <c r="W74" i="19"/>
  <c r="V93" i="19"/>
  <c r="W28" i="19"/>
  <c r="W44" i="19"/>
  <c r="W64" i="19"/>
  <c r="W75" i="19"/>
  <c r="V58" i="19"/>
  <c r="W58" i="19" s="1"/>
  <c r="W73" i="19"/>
  <c r="V56" i="19"/>
  <c r="W56" i="19" s="1"/>
  <c r="V53" i="19"/>
  <c r="U87" i="19"/>
  <c r="V66" i="19"/>
  <c r="W66" i="19" s="1"/>
  <c r="S78" i="19"/>
  <c r="K78" i="19"/>
  <c r="V36" i="19"/>
  <c r="W36" i="19" s="1"/>
  <c r="L78" i="19"/>
  <c r="T78" i="19"/>
  <c r="U48" i="19"/>
  <c r="U55" i="19"/>
  <c r="Q56" i="32" s="1"/>
  <c r="I78" i="19"/>
  <c r="J78" i="19"/>
  <c r="U104" i="19"/>
  <c r="P71" i="2"/>
  <c r="P78" i="2" s="1"/>
  <c r="M71" i="2"/>
  <c r="M78" i="2" s="1"/>
  <c r="L71" i="2"/>
  <c r="L78" i="2" s="1"/>
  <c r="P38" i="2"/>
  <c r="Q20" i="2"/>
  <c r="P15" i="2"/>
  <c r="O63" i="2"/>
  <c r="Q63" i="2" s="1"/>
  <c r="I71" i="2"/>
  <c r="O55" i="2"/>
  <c r="V55" i="19" s="1"/>
  <c r="P60" i="2"/>
  <c r="M60" i="2"/>
  <c r="L60" i="2"/>
  <c r="P48" i="2"/>
  <c r="O48" i="2"/>
  <c r="M48" i="2"/>
  <c r="L48" i="2"/>
  <c r="I48" i="2"/>
  <c r="I121" i="2"/>
  <c r="O18" i="2"/>
  <c r="O26" i="2"/>
  <c r="Q26" i="2" s="1"/>
  <c r="O81" i="2"/>
  <c r="V81" i="19" s="1"/>
  <c r="W81" i="19" s="1"/>
  <c r="O83" i="2"/>
  <c r="L87" i="2"/>
  <c r="O84" i="2"/>
  <c r="V84" i="19" s="1"/>
  <c r="M87" i="2"/>
  <c r="I87" i="2"/>
  <c r="O11" i="2"/>
  <c r="V11" i="19" s="1"/>
  <c r="W11" i="19" s="1"/>
  <c r="I15" i="2"/>
  <c r="I22" i="2" s="1"/>
  <c r="M129" i="2"/>
  <c r="M119" i="2"/>
  <c r="O119" i="2" s="1"/>
  <c r="M118" i="19"/>
  <c r="L118" i="19"/>
  <c r="AA12" i="19"/>
  <c r="K118" i="19"/>
  <c r="J118" i="19"/>
  <c r="I118" i="19"/>
  <c r="M107" i="2"/>
  <c r="I130" i="19"/>
  <c r="J130" i="19" s="1"/>
  <c r="K130" i="19" s="1"/>
  <c r="I146" i="19"/>
  <c r="I106" i="19" s="1"/>
  <c r="I107" i="19" s="1"/>
  <c r="J146" i="19"/>
  <c r="J106" i="19" s="1"/>
  <c r="J107" i="19" s="1"/>
  <c r="K146" i="19"/>
  <c r="K106" i="19" s="1"/>
  <c r="L146" i="19"/>
  <c r="L106" i="19" s="1"/>
  <c r="L107" i="19" s="1"/>
  <c r="D15" i="15"/>
  <c r="H15" i="15"/>
  <c r="I15" i="15" s="1"/>
  <c r="J15" i="15" s="1"/>
  <c r="K15" i="15" s="1"/>
  <c r="S34" i="15"/>
  <c r="M146" i="19"/>
  <c r="M106" i="19" s="1"/>
  <c r="M107" i="19" s="1"/>
  <c r="N146" i="19"/>
  <c r="N106" i="19" s="1"/>
  <c r="N107" i="19" s="1"/>
  <c r="G4" i="2"/>
  <c r="F29" i="15"/>
  <c r="D29" i="15"/>
  <c r="U131" i="19"/>
  <c r="T118" i="19"/>
  <c r="S118" i="19"/>
  <c r="R118" i="19"/>
  <c r="Q118" i="19"/>
  <c r="P118" i="19"/>
  <c r="O118" i="19"/>
  <c r="N118" i="19"/>
  <c r="G129" i="19"/>
  <c r="G5" i="19"/>
  <c r="H137" i="19"/>
  <c r="H146" i="19" s="1"/>
  <c r="L15" i="15"/>
  <c r="S146" i="19"/>
  <c r="S106" i="19" s="1"/>
  <c r="S107" i="19" s="1"/>
  <c r="O146" i="19"/>
  <c r="O106" i="19" s="1"/>
  <c r="O107" i="19" s="1"/>
  <c r="R146" i="19"/>
  <c r="R106" i="19" s="1"/>
  <c r="R107" i="19" s="1"/>
  <c r="Q146" i="19"/>
  <c r="Q106" i="19" s="1"/>
  <c r="Q107" i="19" s="1"/>
  <c r="P146" i="19"/>
  <c r="P106" i="19" s="1"/>
  <c r="P107" i="19" s="1"/>
  <c r="Z12" i="19"/>
  <c r="O106" i="2"/>
  <c r="O105" i="2"/>
  <c r="Q105" i="2" s="1"/>
  <c r="O85" i="2"/>
  <c r="V85" i="19" s="1"/>
  <c r="W85" i="19" s="1"/>
  <c r="M29" i="15"/>
  <c r="E29" i="15"/>
  <c r="O12" i="2"/>
  <c r="V12" i="19" s="1"/>
  <c r="L107" i="2"/>
  <c r="P121" i="2"/>
  <c r="P122" i="2" s="1"/>
  <c r="M15" i="15" l="1"/>
  <c r="L19" i="15"/>
  <c r="R67" i="31" s="1"/>
  <c r="Q61" i="32"/>
  <c r="P61" i="32"/>
  <c r="S61" i="32" s="1"/>
  <c r="E15" i="15"/>
  <c r="E19" i="15" s="1"/>
  <c r="K67" i="31" s="1"/>
  <c r="K72" i="31" s="1"/>
  <c r="K79" i="31" s="1"/>
  <c r="D19" i="15"/>
  <c r="N29" i="15"/>
  <c r="M15" i="32"/>
  <c r="L15" i="32"/>
  <c r="L22" i="32" s="1"/>
  <c r="N15" i="15"/>
  <c r="N19" i="15" s="1"/>
  <c r="M19" i="15"/>
  <c r="Q105" i="32"/>
  <c r="I12" i="31"/>
  <c r="J12" i="31"/>
  <c r="M12" i="31"/>
  <c r="R12" i="31"/>
  <c r="O12" i="31"/>
  <c r="L12" i="31"/>
  <c r="AD12" i="31"/>
  <c r="V106" i="19"/>
  <c r="Q106" i="2"/>
  <c r="L17" i="2"/>
  <c r="H121" i="2"/>
  <c r="K22" i="2" s="1"/>
  <c r="V96" i="19"/>
  <c r="Y96" i="19" s="1"/>
  <c r="W92" i="19"/>
  <c r="Q96" i="2"/>
  <c r="F15" i="15"/>
  <c r="S48" i="2"/>
  <c r="P87" i="2"/>
  <c r="P98" i="2" s="1"/>
  <c r="S35" i="15"/>
  <c r="S36" i="15" s="1"/>
  <c r="S37" i="15" s="1"/>
  <c r="O25" i="2"/>
  <c r="Q25" i="2" s="1"/>
  <c r="I38" i="2"/>
  <c r="C29" i="15"/>
  <c r="V105" i="19"/>
  <c r="W105" i="19" s="1"/>
  <c r="X12" i="2"/>
  <c r="Y12" i="2" s="1"/>
  <c r="Y13" i="2" s="1"/>
  <c r="L128" i="2"/>
  <c r="K107" i="19"/>
  <c r="O60" i="2"/>
  <c r="Q55" i="2"/>
  <c r="Q60" i="2" s="1"/>
  <c r="Q83" i="2"/>
  <c r="V83" i="19"/>
  <c r="W83" i="19" s="1"/>
  <c r="I60" i="2"/>
  <c r="V48" i="19"/>
  <c r="Y48" i="19" s="1"/>
  <c r="Q48" i="2"/>
  <c r="V63" i="19"/>
  <c r="W63" i="19" s="1"/>
  <c r="Q18" i="2"/>
  <c r="V18" i="19"/>
  <c r="W18" i="19" s="1"/>
  <c r="I78" i="2"/>
  <c r="AB12" i="19"/>
  <c r="W84" i="19"/>
  <c r="W48" i="19"/>
  <c r="U13" i="19"/>
  <c r="Q13" i="32" s="1"/>
  <c r="W93" i="19"/>
  <c r="V120" i="19"/>
  <c r="Q119" i="2"/>
  <c r="H120" i="19"/>
  <c r="I120" i="19" s="1"/>
  <c r="J120" i="19" s="1"/>
  <c r="K120" i="19" s="1"/>
  <c r="L120" i="19" s="1"/>
  <c r="M120" i="19" s="1"/>
  <c r="N120" i="19" s="1"/>
  <c r="O120" i="19" s="1"/>
  <c r="U60" i="19"/>
  <c r="W55" i="19"/>
  <c r="V60" i="19"/>
  <c r="W53" i="19"/>
  <c r="Q11" i="2"/>
  <c r="V26" i="19"/>
  <c r="Q12" i="2"/>
  <c r="L15" i="2"/>
  <c r="Q85" i="2"/>
  <c r="L130" i="19"/>
  <c r="O87" i="2"/>
  <c r="Q84" i="2"/>
  <c r="Q81" i="2"/>
  <c r="I107" i="2"/>
  <c r="O104" i="2"/>
  <c r="V104" i="19" s="1"/>
  <c r="S67" i="31" l="1"/>
  <c r="S72" i="31" s="1"/>
  <c r="S79" i="31" s="1"/>
  <c r="L67" i="32"/>
  <c r="T67" i="31"/>
  <c r="T72" i="31" s="1"/>
  <c r="T79" i="31" s="1"/>
  <c r="M67" i="32"/>
  <c r="M72" i="32" s="1"/>
  <c r="M79" i="32" s="1"/>
  <c r="M99" i="32" s="1"/>
  <c r="O12" i="32"/>
  <c r="Y13" i="32" s="1"/>
  <c r="G15" i="15"/>
  <c r="F19" i="15"/>
  <c r="L67" i="31" s="1"/>
  <c r="L72" i="31" s="1"/>
  <c r="L79" i="31" s="1"/>
  <c r="N12" i="31"/>
  <c r="K12" i="31"/>
  <c r="I15" i="31"/>
  <c r="J67" i="31"/>
  <c r="O19" i="15"/>
  <c r="L22" i="2"/>
  <c r="J13" i="31"/>
  <c r="K13" i="31" s="1"/>
  <c r="L13" i="31" s="1"/>
  <c r="M13" i="31" s="1"/>
  <c r="N13" i="31" s="1"/>
  <c r="O13" i="31" s="1"/>
  <c r="P13" i="31" s="1"/>
  <c r="Q13" i="31" s="1"/>
  <c r="R13" i="31" s="1"/>
  <c r="S13" i="31" s="1"/>
  <c r="T13" i="31" s="1"/>
  <c r="M130" i="19"/>
  <c r="N130" i="19" s="1"/>
  <c r="R12" i="19"/>
  <c r="R15" i="19" s="1"/>
  <c r="I12" i="19"/>
  <c r="I15" i="19" s="1"/>
  <c r="I98" i="2"/>
  <c r="I100" i="2" s="1"/>
  <c r="I109" i="2" s="1"/>
  <c r="I110" i="2" s="1"/>
  <c r="O12" i="19"/>
  <c r="O15" i="19" s="1"/>
  <c r="L12" i="19"/>
  <c r="S39" i="15"/>
  <c r="U39" i="15" s="1"/>
  <c r="U38" i="15" s="1"/>
  <c r="U40" i="15" s="1"/>
  <c r="U41" i="15" s="1"/>
  <c r="S38" i="15"/>
  <c r="P120" i="19"/>
  <c r="Q120" i="19" s="1"/>
  <c r="R120" i="19" s="1"/>
  <c r="S120" i="19" s="1"/>
  <c r="T120" i="19" s="1"/>
  <c r="U120" i="19" s="1"/>
  <c r="M12" i="19"/>
  <c r="J12" i="19"/>
  <c r="J15" i="19" s="1"/>
  <c r="S60" i="2"/>
  <c r="AC12" i="19"/>
  <c r="AD12" i="19" s="1"/>
  <c r="W96" i="19"/>
  <c r="L127" i="2"/>
  <c r="L29" i="2"/>
  <c r="V25" i="19"/>
  <c r="W25" i="19" s="1"/>
  <c r="V107" i="19"/>
  <c r="W87" i="19"/>
  <c r="V87" i="19"/>
  <c r="Y87" i="19" s="1"/>
  <c r="W104" i="19"/>
  <c r="W60" i="19"/>
  <c r="Y60" i="19"/>
  <c r="W26" i="19"/>
  <c r="S87" i="2"/>
  <c r="O107" i="2"/>
  <c r="S107" i="2" s="1"/>
  <c r="Q104" i="2"/>
  <c r="Q107" i="2" s="1"/>
  <c r="M15" i="2"/>
  <c r="O13" i="2"/>
  <c r="V13" i="19" s="1"/>
  <c r="V15" i="19" s="1"/>
  <c r="Q87" i="2"/>
  <c r="O67" i="32" l="1"/>
  <c r="L72" i="32"/>
  <c r="L79" i="32" s="1"/>
  <c r="L99" i="32" s="1"/>
  <c r="L101" i="32" s="1"/>
  <c r="L110" i="32" s="1"/>
  <c r="L115" i="32" s="1"/>
  <c r="L119" i="32" s="1"/>
  <c r="L122" i="32" s="1"/>
  <c r="M17" i="32" s="1"/>
  <c r="O17" i="32" s="1"/>
  <c r="V17" i="31" s="1"/>
  <c r="V12" i="31"/>
  <c r="V15" i="31" s="1"/>
  <c r="O15" i="32"/>
  <c r="U13" i="31"/>
  <c r="W13" i="31" s="1"/>
  <c r="O15" i="31"/>
  <c r="M15" i="31"/>
  <c r="K15" i="31"/>
  <c r="S40" i="15"/>
  <c r="S41" i="15" s="1"/>
  <c r="H13" i="15" s="1"/>
  <c r="H29" i="15" s="1"/>
  <c r="W120" i="19"/>
  <c r="Q120" i="32"/>
  <c r="R15" i="31"/>
  <c r="J72" i="31"/>
  <c r="J79" i="31" s="1"/>
  <c r="U67" i="31"/>
  <c r="L15" i="31"/>
  <c r="J15" i="31"/>
  <c r="P12" i="31"/>
  <c r="N15" i="31"/>
  <c r="K12" i="19"/>
  <c r="L38" i="2"/>
  <c r="L131" i="2"/>
  <c r="M126" i="2" s="1"/>
  <c r="M128" i="2" s="1"/>
  <c r="L112" i="2"/>
  <c r="I114" i="2"/>
  <c r="L15" i="19"/>
  <c r="K15" i="19"/>
  <c r="W13" i="19"/>
  <c r="M15" i="19"/>
  <c r="N12" i="19"/>
  <c r="Q13" i="2"/>
  <c r="Q15" i="2" s="1"/>
  <c r="O15" i="2"/>
  <c r="J13" i="15" l="1"/>
  <c r="V67" i="31"/>
  <c r="V72" i="31" s="1"/>
  <c r="V79" i="31" s="1"/>
  <c r="O21" i="15"/>
  <c r="O72" i="32"/>
  <c r="O79" i="32" s="1"/>
  <c r="O99" i="32" s="1"/>
  <c r="Q67" i="32"/>
  <c r="M22" i="32"/>
  <c r="M101" i="32" s="1"/>
  <c r="M110" i="32" s="1"/>
  <c r="M115" i="32" s="1"/>
  <c r="M119" i="32" s="1"/>
  <c r="O22" i="32"/>
  <c r="Q12" i="31"/>
  <c r="P15" i="31"/>
  <c r="I13" i="15"/>
  <c r="I17" i="15" s="1"/>
  <c r="G29" i="15"/>
  <c r="H17" i="15"/>
  <c r="L98" i="2"/>
  <c r="L100" i="2" s="1"/>
  <c r="L109" i="2" s="1"/>
  <c r="L114" i="2" s="1"/>
  <c r="M127" i="2"/>
  <c r="M29" i="2"/>
  <c r="N15" i="19"/>
  <c r="P12" i="19"/>
  <c r="P22" i="2"/>
  <c r="P100" i="2" s="1"/>
  <c r="S15" i="2"/>
  <c r="O130" i="19"/>
  <c r="O115" i="32" l="1"/>
  <c r="I29" i="15"/>
  <c r="M69" i="19"/>
  <c r="M68" i="19" s="1"/>
  <c r="M71" i="19" s="1"/>
  <c r="M78" i="19" s="1"/>
  <c r="W67" i="31"/>
  <c r="O101" i="32"/>
  <c r="O110" i="32" s="1"/>
  <c r="M122" i="32"/>
  <c r="O119" i="32"/>
  <c r="S12" i="31"/>
  <c r="T12" i="31" s="1"/>
  <c r="Q15" i="31"/>
  <c r="M70" i="31"/>
  <c r="M84" i="31" s="1"/>
  <c r="O69" i="19"/>
  <c r="O68" i="19" s="1"/>
  <c r="O71" i="19" s="1"/>
  <c r="O78" i="19" s="1"/>
  <c r="O70" i="31"/>
  <c r="O84" i="31" s="1"/>
  <c r="N69" i="19"/>
  <c r="N68" i="19" s="1"/>
  <c r="N71" i="19" s="1"/>
  <c r="N78" i="19" s="1"/>
  <c r="N70" i="31"/>
  <c r="N84" i="31" s="1"/>
  <c r="M38" i="2"/>
  <c r="M98" i="2" s="1"/>
  <c r="O29" i="2"/>
  <c r="M131" i="2"/>
  <c r="M112" i="2"/>
  <c r="O112" i="2" s="1"/>
  <c r="J29" i="15"/>
  <c r="J17" i="15"/>
  <c r="P15" i="19"/>
  <c r="Q12" i="19"/>
  <c r="P109" i="2"/>
  <c r="P110" i="2" s="1"/>
  <c r="P130" i="19"/>
  <c r="O122" i="32" l="1"/>
  <c r="V120" i="31"/>
  <c r="H120" i="31"/>
  <c r="T15" i="31"/>
  <c r="S15" i="31"/>
  <c r="O88" i="31"/>
  <c r="O72" i="31"/>
  <c r="O79" i="31" s="1"/>
  <c r="N72" i="31"/>
  <c r="N79" i="31" s="1"/>
  <c r="N88" i="31"/>
  <c r="P69" i="19"/>
  <c r="P70" i="31"/>
  <c r="P84" i="31" s="1"/>
  <c r="H132" i="19"/>
  <c r="V38" i="31"/>
  <c r="P68" i="19"/>
  <c r="P71" i="19" s="1"/>
  <c r="P78" i="19" s="1"/>
  <c r="V112" i="19"/>
  <c r="Q112" i="2"/>
  <c r="Q29" i="2"/>
  <c r="Q38" i="2" s="1"/>
  <c r="V29" i="19"/>
  <c r="V38" i="19" s="1"/>
  <c r="O38" i="2"/>
  <c r="U127" i="19"/>
  <c r="I127" i="19"/>
  <c r="I129" i="19" s="1"/>
  <c r="P114" i="2"/>
  <c r="L29" i="15"/>
  <c r="R70" i="31"/>
  <c r="K29" i="15"/>
  <c r="K17" i="15"/>
  <c r="Q70" i="31" s="1"/>
  <c r="Q84" i="31" s="1"/>
  <c r="S12" i="19"/>
  <c r="Q15" i="19"/>
  <c r="Q130" i="19"/>
  <c r="U12" i="31" l="1"/>
  <c r="R88" i="31"/>
  <c r="R69" i="31"/>
  <c r="R72" i="31" s="1"/>
  <c r="R79" i="31" s="1"/>
  <c r="M72" i="31"/>
  <c r="M79" i="31" s="1"/>
  <c r="P88" i="31"/>
  <c r="P72" i="31"/>
  <c r="P79" i="31" s="1"/>
  <c r="U70" i="31"/>
  <c r="W70" i="31" s="1"/>
  <c r="Q88" i="31"/>
  <c r="Q72" i="31"/>
  <c r="Q79" i="31" s="1"/>
  <c r="M88" i="31"/>
  <c r="V99" i="31"/>
  <c r="U128" i="31"/>
  <c r="I128" i="31"/>
  <c r="R69" i="19"/>
  <c r="O17" i="15"/>
  <c r="O20" i="15" s="1"/>
  <c r="O22" i="15" s="1"/>
  <c r="Q69" i="19"/>
  <c r="Q68" i="19" s="1"/>
  <c r="O29" i="15"/>
  <c r="I29" i="19"/>
  <c r="I38" i="19" s="1"/>
  <c r="I98" i="19" s="1"/>
  <c r="I128" i="19"/>
  <c r="I112" i="19" s="1"/>
  <c r="S38" i="2"/>
  <c r="S15" i="19"/>
  <c r="T12" i="19"/>
  <c r="T15" i="19" s="1"/>
  <c r="R130" i="19"/>
  <c r="W12" i="31" l="1"/>
  <c r="W15" i="31" s="1"/>
  <c r="U15" i="31"/>
  <c r="Y15" i="31" s="1"/>
  <c r="AD13" i="31"/>
  <c r="U84" i="31"/>
  <c r="W84" i="31" s="1"/>
  <c r="W88" i="31" s="1"/>
  <c r="U69" i="31"/>
  <c r="I130" i="31"/>
  <c r="R68" i="19"/>
  <c r="U68" i="19" s="1"/>
  <c r="U12" i="19"/>
  <c r="K71" i="2"/>
  <c r="K78" i="2" s="1"/>
  <c r="K98" i="2" s="1"/>
  <c r="K100" i="2" s="1"/>
  <c r="K109" i="2" s="1"/>
  <c r="K114" i="2" s="1"/>
  <c r="O69" i="2"/>
  <c r="Q71" i="19"/>
  <c r="Q78" i="19" s="1"/>
  <c r="U69" i="19"/>
  <c r="Q70" i="32" s="1"/>
  <c r="I132" i="19"/>
  <c r="J127" i="19" s="1"/>
  <c r="J129" i="19" s="1"/>
  <c r="J29" i="19" s="1"/>
  <c r="J38" i="19" s="1"/>
  <c r="J98" i="19" s="1"/>
  <c r="S130" i="19"/>
  <c r="W12" i="19" l="1"/>
  <c r="W15" i="19" s="1"/>
  <c r="U88" i="31"/>
  <c r="Y88" i="31" s="1"/>
  <c r="W68" i="19"/>
  <c r="U72" i="31"/>
  <c r="W69" i="31"/>
  <c r="W72" i="31" s="1"/>
  <c r="W79" i="31" s="1"/>
  <c r="I129" i="31"/>
  <c r="I29" i="31"/>
  <c r="R71" i="19"/>
  <c r="R78" i="19" s="1"/>
  <c r="U71" i="19"/>
  <c r="U78" i="19" s="1"/>
  <c r="U15" i="19"/>
  <c r="Y15" i="19" s="1"/>
  <c r="AD13" i="19"/>
  <c r="Q69" i="2"/>
  <c r="Q71" i="2" s="1"/>
  <c r="Q78" i="2" s="1"/>
  <c r="Q98" i="2" s="1"/>
  <c r="O71" i="2"/>
  <c r="V69" i="19"/>
  <c r="K118" i="2"/>
  <c r="J128" i="19"/>
  <c r="T130" i="19"/>
  <c r="P15" i="32" l="1"/>
  <c r="S15" i="32" s="1"/>
  <c r="Q12" i="32"/>
  <c r="Q15" i="32" s="1"/>
  <c r="P72" i="32"/>
  <c r="Q69" i="32"/>
  <c r="Q72" i="32" s="1"/>
  <c r="Q79" i="32" s="1"/>
  <c r="U79" i="31"/>
  <c r="Y79" i="31" s="1"/>
  <c r="Y72" i="31"/>
  <c r="I38" i="31"/>
  <c r="I99" i="31" s="1"/>
  <c r="I113" i="31"/>
  <c r="I133" i="31"/>
  <c r="J128" i="31" s="1"/>
  <c r="K121" i="2"/>
  <c r="L118" i="2"/>
  <c r="L121" i="2" s="1"/>
  <c r="M17" i="2" s="1"/>
  <c r="V71" i="19"/>
  <c r="W69" i="19"/>
  <c r="W71" i="19" s="1"/>
  <c r="W78" i="19" s="1"/>
  <c r="S71" i="2"/>
  <c r="O78" i="2"/>
  <c r="J112" i="19"/>
  <c r="J132" i="19"/>
  <c r="K127" i="19" s="1"/>
  <c r="K129" i="19" s="1"/>
  <c r="U130" i="19"/>
  <c r="P79" i="32" l="1"/>
  <c r="S79" i="32" s="1"/>
  <c r="S72" i="32"/>
  <c r="J130" i="31"/>
  <c r="V78" i="19"/>
  <c r="Y71" i="19"/>
  <c r="S78" i="2"/>
  <c r="O98" i="2"/>
  <c r="S98" i="2" s="1"/>
  <c r="O17" i="2"/>
  <c r="V22" i="31" s="1"/>
  <c r="V101" i="31" s="1"/>
  <c r="V110" i="31" s="1"/>
  <c r="V115" i="31" s="1"/>
  <c r="V116" i="31" s="1"/>
  <c r="M22" i="2"/>
  <c r="M100" i="2" s="1"/>
  <c r="M109" i="2" s="1"/>
  <c r="M114" i="2" s="1"/>
  <c r="K29" i="19"/>
  <c r="K38" i="19" s="1"/>
  <c r="K128" i="19"/>
  <c r="J29" i="31" l="1"/>
  <c r="J129" i="31"/>
  <c r="M118" i="2"/>
  <c r="O114" i="2"/>
  <c r="Q114" i="2" s="1"/>
  <c r="V17" i="19"/>
  <c r="V22" i="19" s="1"/>
  <c r="O22" i="2"/>
  <c r="Q17" i="2"/>
  <c r="Q22" i="2" s="1"/>
  <c r="Q100" i="2" s="1"/>
  <c r="Q109" i="2" s="1"/>
  <c r="Y78" i="19"/>
  <c r="V98" i="19"/>
  <c r="K98" i="19"/>
  <c r="K112" i="19"/>
  <c r="K132" i="19"/>
  <c r="L127" i="19" s="1"/>
  <c r="L129" i="19" s="1"/>
  <c r="J113" i="31" l="1"/>
  <c r="J133" i="31"/>
  <c r="K128" i="31" s="1"/>
  <c r="J38" i="31"/>
  <c r="J99" i="31" s="1"/>
  <c r="S22" i="2"/>
  <c r="O100" i="2"/>
  <c r="V100" i="19"/>
  <c r="V109" i="19" s="1"/>
  <c r="V114" i="19" s="1"/>
  <c r="V115" i="19" s="1"/>
  <c r="O118" i="2"/>
  <c r="M121" i="2"/>
  <c r="L29" i="19"/>
  <c r="L38" i="19" s="1"/>
  <c r="L128" i="19"/>
  <c r="L112" i="19" s="1"/>
  <c r="V123" i="31" l="1"/>
  <c r="H123" i="31"/>
  <c r="I17" i="31" s="1"/>
  <c r="K130" i="31"/>
  <c r="O109" i="2"/>
  <c r="S109" i="2" s="1"/>
  <c r="S100" i="2"/>
  <c r="L132" i="19"/>
  <c r="M127" i="19" s="1"/>
  <c r="M129" i="19" s="1"/>
  <c r="M29" i="19" s="1"/>
  <c r="M38" i="19" s="1"/>
  <c r="M98" i="19" s="1"/>
  <c r="V119" i="19"/>
  <c r="H119" i="19"/>
  <c r="H122" i="19" s="1"/>
  <c r="I17" i="19" s="1"/>
  <c r="I22" i="19" s="1"/>
  <c r="I100" i="19" s="1"/>
  <c r="I109" i="19" s="1"/>
  <c r="I114" i="19" s="1"/>
  <c r="I119" i="19" s="1"/>
  <c r="I122" i="19" s="1"/>
  <c r="J17" i="19" s="1"/>
  <c r="J22" i="19" s="1"/>
  <c r="J100" i="19" s="1"/>
  <c r="J109" i="19" s="1"/>
  <c r="J114" i="19" s="1"/>
  <c r="J119" i="19" s="1"/>
  <c r="J122" i="19" s="1"/>
  <c r="K17" i="19" s="1"/>
  <c r="K22" i="19" s="1"/>
  <c r="K100" i="19" s="1"/>
  <c r="K109" i="19" s="1"/>
  <c r="K114" i="19" s="1"/>
  <c r="K119" i="19" s="1"/>
  <c r="K122" i="19" s="1"/>
  <c r="L17" i="19" s="1"/>
  <c r="L22" i="19" s="1"/>
  <c r="Q118" i="2"/>
  <c r="Q121" i="2" s="1"/>
  <c r="O121" i="2"/>
  <c r="L98" i="19"/>
  <c r="K29" i="31" l="1"/>
  <c r="K129" i="31"/>
  <c r="K133" i="31" s="1"/>
  <c r="M128" i="19"/>
  <c r="M112" i="19" s="1"/>
  <c r="L100" i="19"/>
  <c r="L109" i="19" s="1"/>
  <c r="L114" i="19" s="1"/>
  <c r="L119" i="19" s="1"/>
  <c r="L122" i="19" s="1"/>
  <c r="M17" i="19" s="1"/>
  <c r="M22" i="19" s="1"/>
  <c r="M100" i="19" s="1"/>
  <c r="M109" i="19" s="1"/>
  <c r="I22" i="31" l="1"/>
  <c r="I101" i="31" s="1"/>
  <c r="I110" i="31" s="1"/>
  <c r="I115" i="31" s="1"/>
  <c r="I120" i="31" s="1"/>
  <c r="I123" i="31" s="1"/>
  <c r="K113" i="31"/>
  <c r="L128" i="31"/>
  <c r="K38" i="31"/>
  <c r="K99" i="31" s="1"/>
  <c r="M132" i="19"/>
  <c r="N127" i="19" s="1"/>
  <c r="N129" i="19" s="1"/>
  <c r="N128" i="19" s="1"/>
  <c r="N112" i="19" s="1"/>
  <c r="M114" i="19"/>
  <c r="M119" i="19" s="1"/>
  <c r="M122" i="19" s="1"/>
  <c r="N17" i="19" s="1"/>
  <c r="N22" i="19" s="1"/>
  <c r="J17" i="31" l="1"/>
  <c r="J22" i="31" s="1"/>
  <c r="J101" i="31" s="1"/>
  <c r="J110" i="31" s="1"/>
  <c r="J115" i="31" s="1"/>
  <c r="J120" i="31" s="1"/>
  <c r="J123" i="31" s="1"/>
  <c r="L130" i="31"/>
  <c r="N29" i="19"/>
  <c r="N38" i="19" s="1"/>
  <c r="N98" i="19" s="1"/>
  <c r="N100" i="19" s="1"/>
  <c r="N109" i="19" s="1"/>
  <c r="N114" i="19" s="1"/>
  <c r="N119" i="19" s="1"/>
  <c r="N122" i="19" s="1"/>
  <c r="O17" i="19" s="1"/>
  <c r="O22" i="19" s="1"/>
  <c r="N132" i="19"/>
  <c r="O127" i="19" s="1"/>
  <c r="O129" i="19" s="1"/>
  <c r="O128" i="19" s="1"/>
  <c r="V122" i="19"/>
  <c r="K17" i="31" l="1"/>
  <c r="K22" i="31" s="1"/>
  <c r="K101" i="31" s="1"/>
  <c r="K110" i="31" s="1"/>
  <c r="K115" i="31" s="1"/>
  <c r="K120" i="31" s="1"/>
  <c r="K123" i="31" s="1"/>
  <c r="L29" i="31"/>
  <c r="L129" i="31"/>
  <c r="O29" i="19"/>
  <c r="O38" i="19" s="1"/>
  <c r="O98" i="19" s="1"/>
  <c r="O100" i="19" s="1"/>
  <c r="O109" i="19" s="1"/>
  <c r="O132" i="19"/>
  <c r="P127" i="19" s="1"/>
  <c r="P129" i="19" s="1"/>
  <c r="P29" i="19" s="1"/>
  <c r="P38" i="19" s="1"/>
  <c r="P98" i="19" s="1"/>
  <c r="O112" i="19"/>
  <c r="L17" i="31" l="1"/>
  <c r="L22" i="31" s="1"/>
  <c r="L113" i="31"/>
  <c r="L133" i="31"/>
  <c r="M128" i="31" s="1"/>
  <c r="L38" i="31"/>
  <c r="L99" i="31" s="1"/>
  <c r="O114" i="19"/>
  <c r="O119" i="19" s="1"/>
  <c r="O122" i="19" s="1"/>
  <c r="P17" i="19" s="1"/>
  <c r="P22" i="19" s="1"/>
  <c r="P100" i="19" s="1"/>
  <c r="P109" i="19" s="1"/>
  <c r="P128" i="19"/>
  <c r="P132" i="19" s="1"/>
  <c r="Q127" i="19" s="1"/>
  <c r="Q129" i="19" s="1"/>
  <c r="L101" i="31" l="1"/>
  <c r="L110" i="31" s="1"/>
  <c r="L115" i="31" s="1"/>
  <c r="L120" i="31" s="1"/>
  <c r="L123" i="31" s="1"/>
  <c r="M17" i="31" s="1"/>
  <c r="M22" i="31" s="1"/>
  <c r="M130" i="31"/>
  <c r="P112" i="19"/>
  <c r="P114" i="19" s="1"/>
  <c r="P119" i="19" s="1"/>
  <c r="P122" i="19" s="1"/>
  <c r="Q17" i="19" s="1"/>
  <c r="Q22" i="19" s="1"/>
  <c r="Q29" i="19"/>
  <c r="Q38" i="19" s="1"/>
  <c r="Q98" i="19" s="1"/>
  <c r="Q128" i="19"/>
  <c r="Q112" i="19" s="1"/>
  <c r="M29" i="31" l="1"/>
  <c r="M129" i="31"/>
  <c r="Q132" i="19"/>
  <c r="R127" i="19" s="1"/>
  <c r="R129" i="19" s="1"/>
  <c r="R29" i="19" s="1"/>
  <c r="R38" i="19" s="1"/>
  <c r="R98" i="19" s="1"/>
  <c r="Q100" i="19"/>
  <c r="Q109" i="19" s="1"/>
  <c r="Q114" i="19" s="1"/>
  <c r="Q119" i="19" s="1"/>
  <c r="Q122" i="19" s="1"/>
  <c r="R17" i="19" s="1"/>
  <c r="R22" i="19" s="1"/>
  <c r="M113" i="31" l="1"/>
  <c r="M133" i="31"/>
  <c r="N128" i="31" s="1"/>
  <c r="M38" i="31"/>
  <c r="M99" i="31" s="1"/>
  <c r="M101" i="31" s="1"/>
  <c r="M110" i="31" s="1"/>
  <c r="R128" i="19"/>
  <c r="R112" i="19" s="1"/>
  <c r="R100" i="19"/>
  <c r="R109" i="19" s="1"/>
  <c r="M115" i="31" l="1"/>
  <c r="M120" i="31" s="1"/>
  <c r="M123" i="31" s="1"/>
  <c r="N17" i="31" s="1"/>
  <c r="N22" i="31" s="1"/>
  <c r="N130" i="31"/>
  <c r="R132" i="19"/>
  <c r="S127" i="19" s="1"/>
  <c r="S129" i="19" s="1"/>
  <c r="S29" i="19" s="1"/>
  <c r="S38" i="19" s="1"/>
  <c r="S98" i="19" s="1"/>
  <c r="R114" i="19"/>
  <c r="R119" i="19" s="1"/>
  <c r="R122" i="19" s="1"/>
  <c r="S17" i="19" s="1"/>
  <c r="S22" i="19" s="1"/>
  <c r="N29" i="31" l="1"/>
  <c r="N38" i="31" s="1"/>
  <c r="N99" i="31" s="1"/>
  <c r="N101" i="31" s="1"/>
  <c r="N110" i="31" s="1"/>
  <c r="N129" i="31"/>
  <c r="S128" i="19"/>
  <c r="S112" i="19" s="1"/>
  <c r="S100" i="19"/>
  <c r="S109" i="19" s="1"/>
  <c r="N113" i="31" l="1"/>
  <c r="N115" i="31" s="1"/>
  <c r="N120" i="31" s="1"/>
  <c r="N123" i="31" s="1"/>
  <c r="O17" i="31" s="1"/>
  <c r="N133" i="31"/>
  <c r="O128" i="31" s="1"/>
  <c r="S132" i="19"/>
  <c r="T127" i="19" s="1"/>
  <c r="T129" i="19" s="1"/>
  <c r="S114" i="19"/>
  <c r="S119" i="19" s="1"/>
  <c r="S122" i="19" s="1"/>
  <c r="T17" i="19" s="1"/>
  <c r="U17" i="19" s="1"/>
  <c r="O130" i="31" l="1"/>
  <c r="U22" i="19"/>
  <c r="Y22" i="19" s="1"/>
  <c r="O22" i="31"/>
  <c r="T22" i="19"/>
  <c r="W17" i="19"/>
  <c r="W22" i="19" s="1"/>
  <c r="T29" i="19"/>
  <c r="T128" i="19"/>
  <c r="T112" i="19" s="1"/>
  <c r="U112" i="19" s="1"/>
  <c r="U129" i="19"/>
  <c r="W112" i="19" l="1"/>
  <c r="Q113" i="32"/>
  <c r="P22" i="32"/>
  <c r="Q17" i="32"/>
  <c r="Q22" i="32" s="1"/>
  <c r="O29" i="31"/>
  <c r="O38" i="31" s="1"/>
  <c r="O99" i="31" s="1"/>
  <c r="O101" i="31" s="1"/>
  <c r="O110" i="31" s="1"/>
  <c r="O129" i="31"/>
  <c r="U128" i="19"/>
  <c r="U132" i="19" s="1"/>
  <c r="I153" i="19" s="1"/>
  <c r="T132" i="19"/>
  <c r="T146" i="19" s="1"/>
  <c r="T106" i="19" s="1"/>
  <c r="T38" i="19"/>
  <c r="U29" i="19"/>
  <c r="P38" i="32" l="1"/>
  <c r="Q29" i="32"/>
  <c r="Q38" i="32" s="1"/>
  <c r="Q99" i="32" s="1"/>
  <c r="Q101" i="32" s="1"/>
  <c r="O113" i="31"/>
  <c r="O115" i="31" s="1"/>
  <c r="O120" i="31" s="1"/>
  <c r="O123" i="31" s="1"/>
  <c r="O133" i="31"/>
  <c r="P128" i="31" s="1"/>
  <c r="S22" i="32"/>
  <c r="T98" i="19"/>
  <c r="T100" i="19" s="1"/>
  <c r="T107" i="19"/>
  <c r="U106" i="19"/>
  <c r="U38" i="19"/>
  <c r="U98" i="19" s="1"/>
  <c r="W29" i="19"/>
  <c r="W38" i="19" s="1"/>
  <c r="Q107" i="32" l="1"/>
  <c r="Q108" i="32" s="1"/>
  <c r="Q110" i="32" s="1"/>
  <c r="P108" i="32"/>
  <c r="S108" i="32" s="1"/>
  <c r="P17" i="31"/>
  <c r="P22" i="31" s="1"/>
  <c r="P130" i="31"/>
  <c r="P99" i="32"/>
  <c r="S38" i="32"/>
  <c r="T109" i="19"/>
  <c r="T114" i="19" s="1"/>
  <c r="T119" i="19" s="1"/>
  <c r="U119" i="19" s="1"/>
  <c r="W98" i="19"/>
  <c r="W100" i="19" s="1"/>
  <c r="W106" i="19"/>
  <c r="W107" i="19" s="1"/>
  <c r="U107" i="19"/>
  <c r="Y107" i="19" s="1"/>
  <c r="Y38" i="19"/>
  <c r="W119" i="19" l="1"/>
  <c r="W122" i="19" s="1"/>
  <c r="S99" i="32"/>
  <c r="P101" i="32"/>
  <c r="P29" i="31"/>
  <c r="P38" i="31" s="1"/>
  <c r="P99" i="31" s="1"/>
  <c r="P101" i="31" s="1"/>
  <c r="P110" i="31" s="1"/>
  <c r="P129" i="31"/>
  <c r="T122" i="19"/>
  <c r="U122" i="19"/>
  <c r="I154" i="19" s="1"/>
  <c r="W109" i="19"/>
  <c r="Y98" i="19"/>
  <c r="U100" i="19"/>
  <c r="P113" i="31" l="1"/>
  <c r="P115" i="31" s="1"/>
  <c r="P120" i="31" s="1"/>
  <c r="P123" i="31" s="1"/>
  <c r="P133" i="31"/>
  <c r="Q128" i="31" s="1"/>
  <c r="P110" i="32"/>
  <c r="P111" i="32" s="1"/>
  <c r="S101" i="32"/>
  <c r="P122" i="32"/>
  <c r="P123" i="32" s="1"/>
  <c r="Q119" i="32"/>
  <c r="Q122" i="32" s="1"/>
  <c r="Y100" i="19"/>
  <c r="U109" i="19"/>
  <c r="Q17" i="31" l="1"/>
  <c r="Q22" i="31" s="1"/>
  <c r="U114" i="19"/>
  <c r="U123" i="19" s="1"/>
  <c r="U124" i="19" s="1"/>
  <c r="P115" i="32"/>
  <c r="Q115" i="32" s="1"/>
  <c r="S110" i="32"/>
  <c r="Q130" i="31"/>
  <c r="Y109" i="19"/>
  <c r="W114" i="19" l="1"/>
  <c r="Y114" i="19"/>
  <c r="Q29" i="31"/>
  <c r="Q38" i="31" s="1"/>
  <c r="Q99" i="31" s="1"/>
  <c r="Q101" i="31" s="1"/>
  <c r="Q110" i="31" s="1"/>
  <c r="Q129" i="31"/>
  <c r="Q113" i="31" l="1"/>
  <c r="Q115" i="31" s="1"/>
  <c r="Q120" i="31" s="1"/>
  <c r="Q123" i="31" s="1"/>
  <c r="Q133" i="31"/>
  <c r="R128" i="31" s="1"/>
  <c r="R17" i="31" l="1"/>
  <c r="R22" i="31" s="1"/>
  <c r="R130" i="31"/>
  <c r="R29" i="31" l="1"/>
  <c r="R38" i="31" s="1"/>
  <c r="R99" i="31" s="1"/>
  <c r="R101" i="31" s="1"/>
  <c r="R110" i="31" s="1"/>
  <c r="R129" i="31"/>
  <c r="R113" i="31" l="1"/>
  <c r="R115" i="31" s="1"/>
  <c r="R120" i="31" s="1"/>
  <c r="R123" i="31" s="1"/>
  <c r="R133" i="31"/>
  <c r="S128" i="31" s="1"/>
  <c r="S17" i="31" l="1"/>
  <c r="S22" i="31" s="1"/>
  <c r="S130" i="31"/>
  <c r="S29" i="31" l="1"/>
  <c r="S38" i="31" s="1"/>
  <c r="S99" i="31" s="1"/>
  <c r="S101" i="31" s="1"/>
  <c r="S110" i="31" s="1"/>
  <c r="S129" i="31"/>
  <c r="S113" i="31" l="1"/>
  <c r="S115" i="31" s="1"/>
  <c r="S120" i="31" s="1"/>
  <c r="S123" i="31" s="1"/>
  <c r="T17" i="31" s="1"/>
  <c r="S133" i="31"/>
  <c r="T128" i="31" s="1"/>
  <c r="T22" i="31" l="1"/>
  <c r="U17" i="31"/>
  <c r="T130" i="31"/>
  <c r="W17" i="31" l="1"/>
  <c r="W22" i="31" s="1"/>
  <c r="U22" i="31"/>
  <c r="T29" i="31"/>
  <c r="T129" i="31"/>
  <c r="U130" i="31"/>
  <c r="T113" i="31" l="1"/>
  <c r="U113" i="31" s="1"/>
  <c r="W113" i="31" s="1"/>
  <c r="U129" i="31"/>
  <c r="U133" i="31" s="1"/>
  <c r="T133" i="31"/>
  <c r="T38" i="31"/>
  <c r="T99" i="31" s="1"/>
  <c r="T101" i="31" s="1"/>
  <c r="T110" i="31" s="1"/>
  <c r="U29" i="31"/>
  <c r="Y22" i="31"/>
  <c r="T115" i="31" l="1"/>
  <c r="T120" i="31" s="1"/>
  <c r="U120" i="31" s="1"/>
  <c r="U38" i="31"/>
  <c r="W29" i="31"/>
  <c r="W38" i="31" s="1"/>
  <c r="W99" i="31" s="1"/>
  <c r="W101" i="31" s="1"/>
  <c r="W110" i="31" s="1"/>
  <c r="T123" i="31" l="1"/>
  <c r="U99" i="31"/>
  <c r="Y38" i="31"/>
  <c r="W120" i="31"/>
  <c r="W123" i="31" s="1"/>
  <c r="U123" i="31"/>
  <c r="Y99" i="31" l="1"/>
  <c r="U101" i="31"/>
  <c r="U110" i="31" l="1"/>
  <c r="Y101" i="31"/>
  <c r="U115" i="31" l="1"/>
  <c r="Y110" i="31"/>
  <c r="W115" i="31" l="1"/>
  <c r="Y115" i="31"/>
  <c r="U124" i="31"/>
  <c r="U125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  <author>Owner</author>
  </authors>
  <commentList>
    <comment ref="U11" authorId="0" shapeId="0" xr:uid="{FF7A5B14-68D8-4B08-91CE-93AB5E374356}">
      <text>
        <r>
          <rPr>
            <sz val="9"/>
            <color indexed="81"/>
            <rFont val="Tahoma"/>
            <family val="2"/>
          </rPr>
          <t xml:space="preserve">60 ACH (monthly)
20 qtly by check
5 annually by check
6 randomly by check
29 monthly by check
</t>
        </r>
      </text>
    </comment>
    <comment ref="M12" authorId="0" shapeId="0" xr:uid="{9EA07005-1F63-425C-99D8-B553B19C3B3D}">
      <text>
        <r>
          <rPr>
            <sz val="9"/>
            <color indexed="81"/>
            <rFont val="Tahoma"/>
            <family val="2"/>
          </rPr>
          <t xml:space="preserve">plug to balance
</t>
        </r>
      </text>
    </comment>
    <comment ref="I20" authorId="1" shapeId="0" xr:uid="{1FE8EC86-AAEE-4181-92B3-7CEF4796B66C}">
      <text>
        <r>
          <rPr>
            <sz val="9"/>
            <color indexed="81"/>
            <rFont val="Tahoma"/>
            <charset val="1"/>
          </rPr>
          <t xml:space="preserve">Pool use (&amp; key) income
</t>
        </r>
      </text>
    </comment>
    <comment ref="AD20" authorId="1" shapeId="0" xr:uid="{72DC3211-A6B0-4770-96F0-5AE21CA5996D}">
      <text>
        <r>
          <rPr>
            <sz val="9"/>
            <color indexed="81"/>
            <rFont val="Tahoma"/>
            <charset val="1"/>
          </rPr>
          <t xml:space="preserve">Pool use (&amp; key) income
</t>
        </r>
      </text>
    </comment>
    <comment ref="M27" authorId="0" shapeId="0" xr:uid="{87C3F053-6338-40BE-81B9-31B5BA0DA364}">
      <text>
        <r>
          <rPr>
            <sz val="9"/>
            <color indexed="81"/>
            <rFont val="Tahoma"/>
            <family val="2"/>
          </rPr>
          <t>Daniel, Police and Fire
Gerry</t>
        </r>
      </text>
    </comment>
    <comment ref="I28" authorId="1" shapeId="0" xr:uid="{F5DC4A5F-BBC8-4537-966B-8625614713ED}">
      <text>
        <r>
          <rPr>
            <sz val="9"/>
            <color indexed="81"/>
            <rFont val="Tahoma"/>
            <family val="2"/>
          </rPr>
          <t xml:space="preserve">now also includes workers comp insurance 
</t>
        </r>
      </text>
    </comment>
    <comment ref="AD28" authorId="1" shapeId="0" xr:uid="{4391C5AB-7104-4133-B945-4795FEAC2BD6}">
      <text>
        <r>
          <rPr>
            <sz val="9"/>
            <color indexed="81"/>
            <rFont val="Tahoma"/>
            <family val="2"/>
          </rPr>
          <t xml:space="preserve">now also includes workers comp insurance 
</t>
        </r>
      </text>
    </comment>
    <comment ref="L30" authorId="0" shapeId="0" xr:uid="{1AB3DCB6-F4D2-414F-982C-81D1E0791AB5}">
      <text>
        <r>
          <rPr>
            <sz val="9"/>
            <color indexed="81"/>
            <rFont val="Tahoma"/>
            <family val="2"/>
          </rPr>
          <t>attorney filing amendments to DC&amp;Rs abd By-Laws</t>
        </r>
      </text>
    </comment>
    <comment ref="L32" authorId="0" shapeId="0" xr:uid="{A64AADCE-82BF-453F-8401-EFFF011C36B9}">
      <text>
        <r>
          <rPr>
            <sz val="9"/>
            <color indexed="81"/>
            <rFont val="Tahoma"/>
            <family val="2"/>
          </rPr>
          <t xml:space="preserve">Holler and Year-end meeting notice
</t>
        </r>
      </text>
    </comment>
    <comment ref="L43" authorId="1" shapeId="0" xr:uid="{ACB31F8A-61AC-4DFE-93AF-40B204E50D6C}">
      <text>
        <r>
          <rPr>
            <sz val="9"/>
            <color indexed="81"/>
            <rFont val="Tahoma"/>
            <family val="2"/>
          </rPr>
          <t xml:space="preserve">pool bathroom toliet repair
</t>
        </r>
      </text>
    </comment>
    <comment ref="L44" authorId="1" shapeId="0" xr:uid="{0670AC90-D564-41D9-AA33-B4EBAF551E44}">
      <text>
        <r>
          <rPr>
            <sz val="9"/>
            <color indexed="81"/>
            <rFont val="Tahoma"/>
            <family val="2"/>
          </rPr>
          <t xml:space="preserve">clearing overgrowth etc. from rear walkways
</t>
        </r>
      </text>
    </comment>
    <comment ref="M47" authorId="1" shapeId="0" xr:uid="{11560820-9922-4802-9350-1FE13E1D62EF}">
      <text>
        <r>
          <rPr>
            <sz val="9"/>
            <color indexed="81"/>
            <rFont val="Tahoma"/>
            <family val="2"/>
          </rPr>
          <t xml:space="preserve">seats for swings
</t>
        </r>
      </text>
    </comment>
    <comment ref="F67" authorId="0" shapeId="0" xr:uid="{30C57638-D4CE-4332-A06E-D1D69C72D6FC}">
      <text>
        <r>
          <rPr>
            <sz val="9"/>
            <color indexed="81"/>
            <rFont val="Tahoma"/>
            <family val="2"/>
          </rPr>
          <t xml:space="preserve">may - oct payroll in summer,
Contract - offseason maint
</t>
        </r>
      </text>
    </comment>
    <comment ref="F70" authorId="1" shapeId="0" xr:uid="{BB93BF05-5DB4-48EE-B3E7-5BBD37295F39}">
      <text>
        <r>
          <rPr>
            <sz val="9"/>
            <color indexed="81"/>
            <rFont val="Tahoma"/>
            <charset val="1"/>
          </rPr>
          <t xml:space="preserve">includes Taxes
</t>
        </r>
      </text>
    </comment>
    <comment ref="M76" authorId="0" shapeId="0" xr:uid="{82D1F2BB-6C41-456B-BF49-F27DCF6C59D7}">
      <text>
        <r>
          <rPr>
            <sz val="9"/>
            <color indexed="81"/>
            <rFont val="Tahoma"/>
            <family val="2"/>
          </rPr>
          <t xml:space="preserve">pump &amp; pool plumbing
</t>
        </r>
      </text>
    </comment>
    <comment ref="I83" authorId="1" shapeId="0" xr:uid="{1897878B-B801-49F6-A83C-94FB56A6073E}">
      <text>
        <r>
          <rPr>
            <sz val="9"/>
            <color indexed="81"/>
            <rFont val="Tahoma"/>
            <family val="2"/>
          </rPr>
          <t xml:space="preserve">office supplies
</t>
        </r>
      </text>
    </comment>
    <comment ref="AD83" authorId="1" shapeId="0" xr:uid="{BC33EFCE-545D-4484-8B06-2E1F5F1960B2}">
      <text>
        <r>
          <rPr>
            <sz val="9"/>
            <color indexed="81"/>
            <rFont val="Tahoma"/>
            <family val="2"/>
          </rPr>
          <t xml:space="preserve">office supplies
</t>
        </r>
      </text>
    </comment>
    <comment ref="I127" authorId="1" shapeId="0" xr:uid="{5ECA3E2F-6511-48B2-9C89-C48C1FD4ED33}">
      <text>
        <r>
          <rPr>
            <sz val="9"/>
            <color indexed="81"/>
            <rFont val="Tahoma"/>
            <charset val="1"/>
          </rPr>
          <t xml:space="preserve">Jan 1, 2025 loan balance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Matt Bach</author>
  </authors>
  <commentList>
    <comment ref="U13" authorId="0" shapeId="0" xr:uid="{8B6455AB-83E3-471B-8416-6141438E153D}">
      <text>
        <r>
          <rPr>
            <sz val="9"/>
            <color indexed="81"/>
            <rFont val="Tahoma"/>
            <charset val="1"/>
          </rPr>
          <t xml:space="preserve">assume 6 residents are 3 months delinquent
</t>
        </r>
      </text>
    </comment>
    <comment ref="D19" authorId="1" shapeId="0" xr:uid="{9085B05D-6CDD-4844-B3B5-CCAACC44A124}">
      <text>
        <r>
          <rPr>
            <sz val="9"/>
            <color indexed="81"/>
            <rFont val="Tahoma"/>
            <family val="2"/>
          </rPr>
          <t>HPHA charges $350
Gerry charges $150 (below in Resales Certif Fee)</t>
        </r>
      </text>
    </comment>
    <comment ref="Q26" authorId="1" shapeId="0" xr:uid="{F5F4C0D5-F5A5-4EDD-AA79-5FB1B018DED1}">
      <text>
        <r>
          <rPr>
            <sz val="9"/>
            <color indexed="81"/>
            <rFont val="Tahoma"/>
            <family val="2"/>
          </rPr>
          <t xml:space="preserve">$2000 for financial review of docs, and preparation of tax return
</t>
        </r>
      </text>
    </comment>
    <comment ref="J27" authorId="1" shapeId="0" xr:uid="{17A87E2D-EDD6-4EE0-8070-FFE34170F033}">
      <text>
        <r>
          <rPr>
            <sz val="9"/>
            <color indexed="81"/>
            <rFont val="Tahoma"/>
            <family val="2"/>
          </rPr>
          <t xml:space="preserve">NDNA dues
</t>
        </r>
      </text>
    </comment>
    <comment ref="Q27" authorId="1" shapeId="0" xr:uid="{6B880B8B-90FD-448B-8EA0-D6505CF9A403}">
      <text>
        <r>
          <rPr>
            <sz val="9"/>
            <color indexed="81"/>
            <rFont val="Tahoma"/>
            <family val="2"/>
          </rPr>
          <t xml:space="preserve">flowers for resident
</t>
        </r>
      </text>
    </comment>
    <comment ref="T27" authorId="1" shapeId="0" xr:uid="{BF0156CF-8D3C-4496-845F-4AA86B0079D6}">
      <text>
        <r>
          <rPr>
            <sz val="9"/>
            <color indexed="81"/>
            <rFont val="Tahoma"/>
            <family val="2"/>
          </rPr>
          <t xml:space="preserve">holiday gifts Police, Fire, etc.
</t>
        </r>
      </text>
    </comment>
    <comment ref="K30" authorId="1" shapeId="0" xr:uid="{FBF7A8BD-84B1-42E1-8403-A50B9F093C7F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N30" authorId="1" shapeId="0" xr:uid="{0C4A2D0A-DE77-4AF7-A7D1-02D160C87AA9}">
      <text>
        <r>
          <rPr>
            <sz val="9"/>
            <color indexed="81"/>
            <rFont val="Tahoma"/>
            <family val="2"/>
          </rPr>
          <t>opinion</t>
        </r>
      </text>
    </comment>
    <comment ref="Q30" authorId="1" shapeId="0" xr:uid="{046DB54F-11A6-46A5-9000-0F06B7992F2B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L32" authorId="1" shapeId="0" xr:uid="{6A3BCBFB-EBDF-48CA-8D8E-16976F8127A5}">
      <text>
        <r>
          <rPr>
            <sz val="9"/>
            <color indexed="81"/>
            <rFont val="Tahoma"/>
            <family val="2"/>
          </rPr>
          <t xml:space="preserve">Hollars
</t>
        </r>
      </text>
    </comment>
    <comment ref="R33" authorId="1" shapeId="0" xr:uid="{E9E51AEF-DEFE-4BDC-967B-8E858B74B73A}">
      <text>
        <r>
          <rPr>
            <sz val="9"/>
            <color indexed="81"/>
            <rFont val="Tahoma"/>
            <family val="2"/>
          </rPr>
          <t xml:space="preserve">where is cost of POB?
</t>
        </r>
      </text>
    </comment>
    <comment ref="O35" authorId="0" shapeId="0" xr:uid="{882645DE-F118-435A-8946-8CD2A53AB5A0}">
      <text>
        <r>
          <rPr>
            <sz val="9"/>
            <color indexed="81"/>
            <rFont val="Tahoma"/>
            <charset val="1"/>
          </rPr>
          <t xml:space="preserve">$300 Bowie Carnival, $100 HPHA celebration
</t>
        </r>
      </text>
    </comment>
    <comment ref="N41" authorId="1" shapeId="0" xr:uid="{305886CE-2FB6-4CE7-B20C-693F45A422FA}">
      <text>
        <r>
          <rPr>
            <sz val="9"/>
            <color indexed="81"/>
            <rFont val="Tahoma"/>
            <family val="2"/>
          </rPr>
          <t xml:space="preserve">park lights repair
</t>
        </r>
      </text>
    </comment>
    <comment ref="M42" authorId="1" shapeId="0" xr:uid="{47F0E2A9-6216-4929-8A54-AFFEBDE40D4C}">
      <text>
        <r>
          <rPr>
            <sz val="9"/>
            <color indexed="81"/>
            <rFont val="Tahoma"/>
            <family val="2"/>
          </rPr>
          <t>close off Covewood</t>
        </r>
      </text>
    </comment>
    <comment ref="N47" authorId="0" shapeId="0" xr:uid="{80ACF41F-1F3E-406D-AB40-3B06D12C5225}">
      <text>
        <r>
          <rPr>
            <sz val="9"/>
            <color indexed="81"/>
            <rFont val="Tahoma"/>
            <family val="2"/>
          </rPr>
          <t>New ball bin</t>
        </r>
      </text>
    </comment>
    <comment ref="P47" authorId="1" shapeId="0" xr:uid="{57DC8E89-FAB2-4ABE-9955-9815C1D64F95}">
      <text>
        <r>
          <rPr>
            <sz val="9"/>
            <color indexed="81"/>
            <rFont val="Tahoma"/>
            <family val="2"/>
          </rPr>
          <t xml:space="preserve">repair tenis court net
</t>
        </r>
      </text>
    </comment>
    <comment ref="N52" authorId="0" shapeId="0" xr:uid="{6903FA51-5B56-4DEB-92E7-16EB918B9135}">
      <text>
        <r>
          <rPr>
            <sz val="9"/>
            <color indexed="81"/>
            <rFont val="Tahoma"/>
            <charset val="1"/>
          </rPr>
          <t xml:space="preserve">fob reader repair
</t>
        </r>
      </text>
    </comment>
    <comment ref="L53" authorId="0" shapeId="0" xr:uid="{7B525447-B163-4F8D-AC61-B286CD6E8ED8}">
      <text>
        <r>
          <rPr>
            <sz val="9"/>
            <color indexed="81"/>
            <rFont val="Tahoma"/>
            <family val="2"/>
          </rPr>
          <t xml:space="preserve">clearing walkway of vegetation
</t>
        </r>
      </text>
    </comment>
    <comment ref="O53" authorId="1" shapeId="0" xr:uid="{B2E5AB15-6E75-4A0E-92CA-EB85155D9E0B}">
      <text>
        <r>
          <rPr>
            <sz val="9"/>
            <color indexed="81"/>
            <rFont val="Tahoma"/>
            <family val="2"/>
          </rPr>
          <t xml:space="preserve">trimming west-end along PTAA
</t>
        </r>
      </text>
    </comment>
    <comment ref="L65" authorId="1" shapeId="0" xr:uid="{B7149A88-FEA8-429C-8BB5-270E6D9B4CA9}">
      <text>
        <r>
          <rPr>
            <sz val="9"/>
            <color indexed="81"/>
            <rFont val="Tahoma"/>
            <family val="2"/>
          </rPr>
          <t>pool fence repair</t>
        </r>
      </text>
    </comment>
    <comment ref="M65" authorId="0" shapeId="0" xr:uid="{77CD3F15-7186-4F01-96D1-7239A22EB349}">
      <text>
        <r>
          <rPr>
            <sz val="9"/>
            <color indexed="81"/>
            <rFont val="Tahoma"/>
            <family val="2"/>
          </rPr>
          <t xml:space="preserve">Overhead pergola repair - materials only
</t>
        </r>
      </text>
    </comment>
    <comment ref="F67" authorId="1" shapeId="0" xr:uid="{FEE2155B-EBE4-49B0-9DE1-061DF5D8E343}">
      <text>
        <r>
          <rPr>
            <sz val="9"/>
            <color indexed="81"/>
            <rFont val="Tahoma"/>
            <family val="2"/>
          </rPr>
          <t xml:space="preserve">may - oct payroll in summer, 
Contract - offseason maint
</t>
        </r>
      </text>
    </comment>
    <comment ref="M75" authorId="0" shapeId="0" xr:uid="{C4C7443F-EFB0-486B-B3CC-4EB87283B935}">
      <text>
        <r>
          <rPr>
            <sz val="9"/>
            <color indexed="81"/>
            <rFont val="Tahoma"/>
            <family val="2"/>
          </rPr>
          <t xml:space="preserve">New pool basketball hoop
</t>
        </r>
      </text>
    </comment>
    <comment ref="L76" authorId="1" shapeId="0" xr:uid="{FC308E19-8B64-44CD-BDAC-35CD35412269}">
      <text>
        <r>
          <rPr>
            <sz val="9"/>
            <color indexed="81"/>
            <rFont val="Tahoma"/>
            <family val="2"/>
          </rPr>
          <t xml:space="preserve">pump replacement
</t>
        </r>
      </text>
    </comment>
    <comment ref="E77" authorId="0" shapeId="0" xr:uid="{06C2E612-9ECA-45FE-8E6E-48CA5D4F9A44}">
      <text>
        <r>
          <rPr>
            <sz val="9"/>
            <color indexed="81"/>
            <rFont val="Tahoma"/>
            <family val="2"/>
          </rPr>
          <t xml:space="preserve">cleaning supplies, paper towels, pool toys, toliet paper, etc.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  <author>Owner</author>
  </authors>
  <commentList>
    <comment ref="U1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60 ACH (monthly)
20 qtly by check
5 annually by check
6 randomly by check
29 monthly by check
</t>
        </r>
      </text>
    </comment>
    <comment ref="M12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plug to balance
</t>
        </r>
      </text>
    </comment>
    <comment ref="K13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A/R - unpaid dues as of Sep
</t>
        </r>
      </text>
    </comment>
    <comment ref="M27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Daniel, Police and Fire
</t>
        </r>
      </text>
    </comment>
    <comment ref="K30" authorId="0" shapeId="0" xr:uid="{00000000-0006-0000-0100-000005000000}">
      <text>
        <r>
          <rPr>
            <sz val="9"/>
            <color indexed="81"/>
            <rFont val="Tahoma"/>
            <family val="2"/>
          </rPr>
          <t>attorney filing amendments to DC&amp;Rs abd By-Laws</t>
        </r>
      </text>
    </comment>
    <comment ref="L32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Holler and Year-end meeting notice
</t>
        </r>
      </text>
    </comment>
    <comment ref="K41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Lights in flagpole garden
</t>
        </r>
      </text>
    </comment>
    <comment ref="I44" authorId="1" shapeId="0" xr:uid="{466BDBBE-3ED8-4D49-921F-695F715FBA70}">
      <text>
        <r>
          <rPr>
            <sz val="9"/>
            <color indexed="81"/>
            <rFont val="Tahoma"/>
            <family val="2"/>
          </rPr>
          <t xml:space="preserve">spending from July, rest of spending is related to east-end playground
</t>
        </r>
      </text>
    </comment>
    <comment ref="K44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spread dirt
</t>
        </r>
      </text>
    </comment>
    <comment ref="L44" authorId="1" shapeId="0" xr:uid="{80F812A6-F8E3-48ED-A869-10D8FD28B4CB}">
      <text>
        <r>
          <rPr>
            <sz val="9"/>
            <color indexed="81"/>
            <rFont val="Tahoma"/>
            <family val="2"/>
          </rPr>
          <t xml:space="preserve">grinding walkway edges
</t>
        </r>
      </text>
    </comment>
    <comment ref="M52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walkways
</t>
        </r>
      </text>
    </comment>
    <comment ref="F66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may - oct payroll in summer,
Contract - offseason maint
</t>
        </r>
      </text>
    </comment>
    <comment ref="K85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Tillis
</t>
        </r>
      </text>
    </comment>
    <comment ref="L85" authorId="0" shapeId="0" xr:uid="{00000000-0006-0000-0100-000010000000}">
      <text>
        <r>
          <rPr>
            <sz val="9"/>
            <color indexed="81"/>
            <rFont val="Tahoma"/>
            <family val="2"/>
          </rPr>
          <t>Rogers 
house</t>
        </r>
      </text>
    </comment>
    <comment ref="I104" authorId="1" shapeId="0" xr:uid="{8E1CB93D-87DC-4A6E-ADC1-C58EA9C7966C}">
      <text>
        <r>
          <rPr>
            <sz val="9"/>
            <color indexed="81"/>
            <rFont val="Tahoma"/>
            <family val="2"/>
          </rPr>
          <t xml:space="preserve">east-end playground, incl shade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</authors>
  <commentList>
    <comment ref="D19" authorId="0" shapeId="0" xr:uid="{EFF82BF1-A5F9-437C-9AF5-28F862B75891}">
      <text>
        <r>
          <rPr>
            <sz val="9"/>
            <color indexed="81"/>
            <rFont val="Tahoma"/>
            <family val="2"/>
          </rPr>
          <t>HPHA charges $350
Gerry charges $150 (below in Resales Certif Fee)</t>
        </r>
      </text>
    </comment>
    <comment ref="N20" authorId="0" shapeId="0" xr:uid="{06C467E0-80BE-4D39-AFF8-9B105AFCBCB6}">
      <text>
        <r>
          <rPr>
            <sz val="9"/>
            <color indexed="81"/>
            <rFont val="Tahoma"/>
            <family val="2"/>
          </rPr>
          <t xml:space="preserve">Arapaho Medians:
assume only shelton reimburses us
</t>
        </r>
      </text>
    </comment>
    <comment ref="M26" authorId="0" shapeId="0" xr:uid="{D6A809BF-3577-4B89-8CF8-E8D1BC96058B}">
      <text>
        <r>
          <rPr>
            <sz val="9"/>
            <color indexed="81"/>
            <rFont val="Tahoma"/>
            <family val="2"/>
          </rPr>
          <t xml:space="preserve">review of HPHA financial records
</t>
        </r>
      </text>
    </comment>
    <comment ref="N26" authorId="0" shapeId="0" xr:uid="{5BEFE799-9930-43EA-AC9B-E134A82DCD27}">
      <text>
        <r>
          <rPr>
            <sz val="9"/>
            <color indexed="81"/>
            <rFont val="Tahoma"/>
            <family val="2"/>
          </rPr>
          <t xml:space="preserve">prep of tax return
</t>
        </r>
      </text>
    </comment>
    <comment ref="K27" authorId="0" shapeId="0" xr:uid="{D53A8615-935D-4335-99C6-196AB81496DD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Q27" authorId="0" shapeId="0" xr:uid="{6E2749C9-90E0-44E5-8A77-874EA144261B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T27" authorId="0" shapeId="0" xr:uid="{AA9599FF-976E-4B3E-9891-89E637A4B6BF}">
      <text>
        <r>
          <rPr>
            <sz val="9"/>
            <color indexed="81"/>
            <rFont val="Tahoma"/>
            <family val="2"/>
          </rPr>
          <t xml:space="preserve">holiday gifts Police, Fire, etc.
</t>
        </r>
      </text>
    </comment>
    <comment ref="K30" authorId="0" shapeId="0" xr:uid="{F747D751-F533-4E45-A385-F1AFA140EDFD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N30" authorId="0" shapeId="0" xr:uid="{86CC1022-9087-4200-90E8-3116CEA70072}">
      <text>
        <r>
          <rPr>
            <sz val="9"/>
            <color indexed="81"/>
            <rFont val="Tahoma"/>
            <family val="2"/>
          </rPr>
          <t>collection/foreclosure
STR legal action</t>
        </r>
      </text>
    </comment>
    <comment ref="R30" authorId="0" shapeId="0" xr:uid="{EA4A75FD-D15A-4A96-BB3E-7F9D12229039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M43" authorId="0" shapeId="0" xr:uid="{9FFADA1B-4929-4E62-BF6B-C390E62C160D}">
      <text>
        <r>
          <rPr>
            <sz val="9"/>
            <color indexed="81"/>
            <rFont val="Tahoma"/>
            <family val="2"/>
          </rPr>
          <t xml:space="preserve">straighten and install yoke latches on all park gates
</t>
        </r>
      </text>
    </comment>
    <comment ref="O47" authorId="0" shapeId="0" xr:uid="{47AF7052-0B7F-4508-9C5F-0179B792EBD9}">
      <text>
        <r>
          <rPr>
            <sz val="9"/>
            <color indexed="81"/>
            <rFont val="Tahoma"/>
            <family val="2"/>
          </rPr>
          <t xml:space="preserve">repair tenis court net
</t>
        </r>
      </text>
    </comment>
    <comment ref="K53" authorId="0" shapeId="0" xr:uid="{764867F3-9B14-4772-87B3-FEFF54C158C0}">
      <text>
        <r>
          <rPr>
            <sz val="9"/>
            <color indexed="81"/>
            <rFont val="Tahoma"/>
            <family val="2"/>
          </rPr>
          <t xml:space="preserve">replace Ind Hawthorns along walkway
</t>
        </r>
      </text>
    </comment>
    <comment ref="P53" authorId="0" shapeId="0" xr:uid="{0169E8A9-B889-4108-A5BB-DA1CF558E39E}">
      <text>
        <r>
          <rPr>
            <sz val="9"/>
            <color indexed="81"/>
            <rFont val="Tahoma"/>
            <family val="2"/>
          </rPr>
          <t xml:space="preserve">trimming
</t>
        </r>
      </text>
    </comment>
    <comment ref="R53" authorId="0" shapeId="0" xr:uid="{6C9EEF34-B16F-426E-9FFD-8138315ABA21}">
      <text>
        <r>
          <rPr>
            <sz val="9"/>
            <color indexed="81"/>
            <rFont val="Tahoma"/>
            <family val="2"/>
          </rPr>
          <t xml:space="preserve">shrub removal from rear walkways
</t>
        </r>
      </text>
    </comment>
    <comment ref="D54" authorId="0" shapeId="0" xr:uid="{56ECC013-1282-4E1C-9014-FE46139E4C47}">
      <text>
        <r>
          <rPr>
            <sz val="9"/>
            <color indexed="81"/>
            <rFont val="Tahoma"/>
            <family val="2"/>
          </rPr>
          <t xml:space="preserve">$850/mow,
$300 walkway cleanup ~4x per year
</t>
        </r>
      </text>
    </comment>
    <comment ref="L55" authorId="0" shapeId="0" xr:uid="{866E4000-E1F2-4115-BF61-91D69A29AAF7}">
      <text>
        <r>
          <rPr>
            <sz val="9"/>
            <color indexed="81"/>
            <rFont val="Tahoma"/>
            <family val="2"/>
          </rPr>
          <t xml:space="preserve">sprinkler repairs
</t>
        </r>
      </text>
    </comment>
    <comment ref="M56" authorId="0" shapeId="0" xr:uid="{72E45B18-F6AC-4AED-84E4-614A18F84DB1}">
      <text>
        <r>
          <rPr>
            <sz val="9"/>
            <color indexed="81"/>
            <rFont val="Tahoma"/>
            <family val="2"/>
          </rPr>
          <t xml:space="preserve">storm cleanup and other unforseen expenses
</t>
        </r>
      </text>
    </comment>
    <comment ref="L57" authorId="0" shapeId="0" xr:uid="{8937A213-C29E-480A-81EE-7D73022C8948}">
      <text>
        <r>
          <rPr>
            <sz val="9"/>
            <color indexed="81"/>
            <rFont val="Tahoma"/>
            <family val="2"/>
          </rPr>
          <t xml:space="preserve">remove mulberry
</t>
        </r>
      </text>
    </comment>
    <comment ref="L65" authorId="0" shapeId="0" xr:uid="{8C7C4F7F-E8AC-4488-9EFF-553444FFECBB}">
      <text>
        <r>
          <rPr>
            <sz val="9"/>
            <color indexed="81"/>
            <rFont val="Tahoma"/>
            <family val="2"/>
          </rPr>
          <t xml:space="preserve">concrete crack repair
</t>
        </r>
      </text>
    </comment>
    <comment ref="F67" authorId="0" shapeId="0" xr:uid="{860A536F-4545-41FC-B6F0-3317CE2AD5F0}">
      <text>
        <r>
          <rPr>
            <sz val="9"/>
            <color indexed="81"/>
            <rFont val="Tahoma"/>
            <family val="2"/>
          </rPr>
          <t xml:space="preserve">may - oct payroll in summer, 
Contract - offseason maint
</t>
        </r>
      </text>
    </comment>
    <comment ref="F68" authorId="0" shapeId="0" xr:uid="{6BF9BF4D-9BE2-4F35-8051-769EB3F80769}">
      <text>
        <r>
          <rPr>
            <sz val="9"/>
            <color indexed="81"/>
            <rFont val="Tahoma"/>
            <family val="2"/>
          </rPr>
          <t xml:space="preserve">processing payroll?
</t>
        </r>
      </text>
    </comment>
    <comment ref="I73" authorId="0" shapeId="0" xr:uid="{4F83C7AC-3F4D-4CE1-9D7D-A20BD2DC8516}">
      <text>
        <r>
          <rPr>
            <sz val="9"/>
            <color indexed="81"/>
            <rFont val="Tahoma"/>
            <family val="2"/>
          </rPr>
          <t xml:space="preserve">heavy leaf fall
</t>
        </r>
      </text>
    </comment>
    <comment ref="L75" authorId="0" shapeId="0" xr:uid="{0703D693-D5B7-4648-822E-1C06F9DEFD8A}">
      <text>
        <r>
          <rPr>
            <sz val="9"/>
            <color indexed="81"/>
            <rFont val="Tahoma"/>
            <family val="2"/>
          </rPr>
          <t xml:space="preserve">pump replacement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</authors>
  <commentList>
    <comment ref="N2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assume only shelton reimburses us
</t>
        </r>
      </text>
    </comment>
    <comment ref="M2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review of 2021 HPHA financial records
</t>
        </r>
      </text>
    </comment>
    <comment ref="N27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prep of tax return
</t>
        </r>
      </text>
    </comment>
    <comment ref="K28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Q28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T28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holiday gifts Police, Fire, etc.
</t>
        </r>
      </text>
    </comment>
    <comment ref="K32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N32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collection/foreclosure
</t>
        </r>
      </text>
    </comment>
    <comment ref="R32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M45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install yoke latches on all park gates
</t>
        </r>
      </text>
    </comment>
    <comment ref="N57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repair tenis court net
</t>
        </r>
      </text>
    </comment>
    <comment ref="L58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remove mulberry
</t>
        </r>
      </text>
    </comment>
    <comment ref="K65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wooden deck
</t>
        </r>
      </text>
    </comment>
    <comment ref="L76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pump replacement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  <author>Owner</author>
  </authors>
  <commentList>
    <comment ref="D19" authorId="0" shapeId="0" xr:uid="{00000000-0006-0000-0000-000001000000}">
      <text>
        <r>
          <rPr>
            <sz val="9"/>
            <color indexed="81"/>
            <rFont val="Tahoma"/>
            <family val="2"/>
          </rPr>
          <t>HPHA charges $350
Gerry charges $150 (below in Resales Certif Fee)</t>
        </r>
      </text>
    </comment>
    <comment ref="N2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Arapaho Medians:
assume only shelton reimburses us
</t>
        </r>
      </text>
    </comment>
    <comment ref="M2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review of HPHA financial records
</t>
        </r>
      </text>
    </comment>
    <comment ref="N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prep of tax return
</t>
        </r>
      </text>
    </comment>
    <comment ref="K2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Q2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flowers for park member
</t>
        </r>
      </text>
    </comment>
    <comment ref="T27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holiday gifts Police, Fire, etc.
</t>
        </r>
      </text>
    </comment>
    <comment ref="K30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N30" authorId="0" shapeId="0" xr:uid="{00000000-0006-0000-0000-000009000000}">
      <text>
        <r>
          <rPr>
            <sz val="9"/>
            <color indexed="81"/>
            <rFont val="Tahoma"/>
            <family val="2"/>
          </rPr>
          <t>amend governing documents per ACC issues, lot coverage, height restrictions etc.</t>
        </r>
      </text>
    </comment>
    <comment ref="R30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M4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straighten and install yoke latches on all park gates
</t>
        </r>
      </text>
    </comment>
    <comment ref="O46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repair tenis court net
</t>
        </r>
      </text>
    </comment>
    <comment ref="P52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trimming
</t>
        </r>
      </text>
    </comment>
    <comment ref="R52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shrub removal from rear walkways
</t>
        </r>
      </text>
    </comment>
    <comment ref="D53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$850/mow,
$300 walkway cleanup ~4x per year
</t>
        </r>
      </text>
    </comment>
    <comment ref="N54" authorId="1" shapeId="0" xr:uid="{BA2E11AE-F477-4956-808E-A881C65732DC}">
      <text>
        <r>
          <rPr>
            <b/>
            <sz val="9"/>
            <color indexed="81"/>
            <rFont val="Tahoma"/>
            <family val="2"/>
          </rPr>
          <t>trimming crep mytels</t>
        </r>
      </text>
    </comment>
    <comment ref="M55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storm cleanup and other unforseen expenses
</t>
        </r>
      </text>
    </comment>
    <comment ref="L56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remove mulberry
</t>
        </r>
      </text>
    </comment>
    <comment ref="L64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concrete crack repair
</t>
        </r>
      </text>
    </comment>
    <comment ref="F66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may - oct payroll in summer, 
Contract - offseason maint
</t>
        </r>
      </text>
    </comment>
    <comment ref="F67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processing payroll?
</t>
        </r>
      </text>
    </comment>
    <comment ref="I7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heavy leaf fall
</t>
        </r>
      </text>
    </comment>
    <comment ref="L75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pump replacement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</authors>
  <commentList>
    <comment ref="D19" authorId="0" shapeId="0" xr:uid="{92876467-2C4D-4E63-A932-AC050624AC8F}">
      <text>
        <r>
          <rPr>
            <sz val="9"/>
            <color indexed="81"/>
            <rFont val="Tahoma"/>
            <family val="2"/>
          </rPr>
          <t>HPHA charges $350
Gerry charges $150 (below in Resales Certif Fee)</t>
        </r>
      </text>
    </comment>
    <comment ref="N20" authorId="0" shapeId="0" xr:uid="{BD38D8F4-4355-4C20-86FA-AB128BFD7195}">
      <text>
        <r>
          <rPr>
            <sz val="9"/>
            <color indexed="81"/>
            <rFont val="Tahoma"/>
            <family val="2"/>
          </rPr>
          <t xml:space="preserve">Arapaho Medians:
assume only shelton reimburses us
</t>
        </r>
      </text>
    </comment>
    <comment ref="Q26" authorId="0" shapeId="0" xr:uid="{CCE8334F-AEE4-4EB4-B1B0-727528F3C2EE}">
      <text>
        <r>
          <rPr>
            <sz val="9"/>
            <color indexed="81"/>
            <rFont val="Tahoma"/>
            <family val="2"/>
          </rPr>
          <t xml:space="preserve">$2000 for financial review of docs, and preparation of tax return
</t>
        </r>
      </text>
    </comment>
    <comment ref="K27" authorId="0" shapeId="0" xr:uid="{62ACE38D-6C38-43A7-8997-99F811D97B7A}">
      <text>
        <r>
          <rPr>
            <sz val="9"/>
            <color indexed="81"/>
            <rFont val="Tahoma"/>
            <family val="2"/>
          </rPr>
          <t xml:space="preserve">NDNA dues
</t>
        </r>
      </text>
    </comment>
    <comment ref="Q27" authorId="0" shapeId="0" xr:uid="{F1A1D0AE-C13F-4315-91EC-EB3F975231A0}">
      <text>
        <r>
          <rPr>
            <sz val="9"/>
            <color indexed="81"/>
            <rFont val="Tahoma"/>
            <family val="2"/>
          </rPr>
          <t xml:space="preserve">flowers for resident
</t>
        </r>
      </text>
    </comment>
    <comment ref="T27" authorId="0" shapeId="0" xr:uid="{348FBD02-520D-4378-9B86-86ABE273833E}">
      <text>
        <r>
          <rPr>
            <sz val="9"/>
            <color indexed="81"/>
            <rFont val="Tahoma"/>
            <family val="2"/>
          </rPr>
          <t xml:space="preserve">holiday gifts Police, Fire, etc.
</t>
        </r>
      </text>
    </comment>
    <comment ref="K30" authorId="0" shapeId="0" xr:uid="{2AB88C54-20DA-4BB7-BA48-852DC2BDD4DC}">
      <text>
        <r>
          <rPr>
            <sz val="9"/>
            <color indexed="81"/>
            <rFont val="Tahoma"/>
            <family val="2"/>
          </rPr>
          <t xml:space="preserve">opinion
</t>
        </r>
      </text>
    </comment>
    <comment ref="N30" authorId="0" shapeId="0" xr:uid="{AD5C96AB-A2A5-4F84-88C3-CC8FB4F55F83}">
      <text>
        <r>
          <rPr>
            <sz val="9"/>
            <color indexed="81"/>
            <rFont val="Tahoma"/>
            <family val="2"/>
          </rPr>
          <t>amend governing documents per ACC issues, lot coverage, height restrictions etc.</t>
        </r>
      </text>
    </comment>
    <comment ref="L32" authorId="0" shapeId="0" xr:uid="{ABD22DAF-3907-4A56-B51B-066E3652B081}">
      <text>
        <r>
          <rPr>
            <sz val="9"/>
            <color indexed="81"/>
            <rFont val="Tahoma"/>
            <family val="2"/>
          </rPr>
          <t xml:space="preserve">Hollars
</t>
        </r>
      </text>
    </comment>
    <comment ref="R33" authorId="0" shapeId="0" xr:uid="{183AD059-E682-4736-ACFE-6B2EE6AB4394}">
      <text>
        <r>
          <rPr>
            <sz val="9"/>
            <color indexed="81"/>
            <rFont val="Tahoma"/>
            <family val="2"/>
          </rPr>
          <t xml:space="preserve">where is cost of POB?
</t>
        </r>
      </text>
    </comment>
    <comment ref="N41" authorId="0" shapeId="0" xr:uid="{C322C24E-F05E-4BF5-A119-109C2EBD958A}">
      <text>
        <r>
          <rPr>
            <sz val="9"/>
            <color indexed="81"/>
            <rFont val="Tahoma"/>
            <family val="2"/>
          </rPr>
          <t xml:space="preserve">park lights repair
</t>
        </r>
      </text>
    </comment>
    <comment ref="M42" authorId="0" shapeId="0" xr:uid="{D6C7152B-7158-4415-A092-AA5E6CB4579F}">
      <text>
        <r>
          <rPr>
            <sz val="9"/>
            <color indexed="81"/>
            <rFont val="Tahoma"/>
            <family val="2"/>
          </rPr>
          <t xml:space="preserve">straighten and install yoke latches on all park gates
</t>
        </r>
      </text>
    </comment>
    <comment ref="N44" authorId="0" shapeId="0" xr:uid="{86C22821-85E5-4819-BD8E-CDA08A2A8E43}">
      <text>
        <r>
          <rPr>
            <sz val="9"/>
            <color indexed="81"/>
            <rFont val="Tahoma"/>
            <family val="2"/>
          </rPr>
          <t xml:space="preserve">drainage at west-end
</t>
        </r>
      </text>
    </comment>
    <comment ref="O46" authorId="0" shapeId="0" xr:uid="{32D799F5-086F-4D1B-8AA4-658C1D270955}">
      <text>
        <r>
          <rPr>
            <sz val="9"/>
            <color indexed="81"/>
            <rFont val="Tahoma"/>
            <family val="2"/>
          </rPr>
          <t xml:space="preserve">repair tenis court net
</t>
        </r>
      </text>
    </comment>
    <comment ref="P52" authorId="0" shapeId="0" xr:uid="{920E4195-B81C-4052-96F5-754894AF813F}">
      <text>
        <r>
          <rPr>
            <sz val="9"/>
            <color indexed="81"/>
            <rFont val="Tahoma"/>
            <family val="2"/>
          </rPr>
          <t xml:space="preserve">trimming west-end along PTAA
</t>
        </r>
      </text>
    </comment>
    <comment ref="H53" authorId="0" shapeId="0" xr:uid="{F93EEBCB-A7CF-4144-9459-91115FF0A67A}">
      <text>
        <r>
          <rPr>
            <sz val="9"/>
            <color indexed="81"/>
            <rFont val="Tahoma"/>
            <family val="2"/>
          </rPr>
          <t xml:space="preserve">Kevin Hardy annual contract
</t>
        </r>
      </text>
    </comment>
    <comment ref="L64" authorId="0" shapeId="0" xr:uid="{B1CA28D3-F11B-43E7-B3B5-B783944AA0EC}">
      <text>
        <r>
          <rPr>
            <sz val="9"/>
            <color indexed="81"/>
            <rFont val="Tahoma"/>
            <family val="2"/>
          </rPr>
          <t xml:space="preserve">concrete crack repair
</t>
        </r>
      </text>
    </comment>
    <comment ref="F66" authorId="0" shapeId="0" xr:uid="{0F7B3B23-9D71-4115-BFB1-320F5D7D5468}">
      <text>
        <r>
          <rPr>
            <sz val="9"/>
            <color indexed="81"/>
            <rFont val="Tahoma"/>
            <family val="2"/>
          </rPr>
          <t xml:space="preserve">may - oct payroll in summer, 
Contract - offseason maint
</t>
        </r>
      </text>
    </comment>
    <comment ref="I73" authorId="0" shapeId="0" xr:uid="{E88C346C-B1B0-41C1-A854-4C60D44B4AB6}">
      <text>
        <r>
          <rPr>
            <sz val="9"/>
            <color indexed="81"/>
            <rFont val="Tahoma"/>
            <family val="2"/>
          </rPr>
          <t xml:space="preserve">heavy leaf fall
</t>
        </r>
      </text>
    </comment>
    <comment ref="L75" authorId="0" shapeId="0" xr:uid="{506294A2-9167-4D68-B192-99BBBADEF3E8}">
      <text>
        <r>
          <rPr>
            <sz val="9"/>
            <color indexed="81"/>
            <rFont val="Tahoma"/>
            <family val="2"/>
          </rPr>
          <t xml:space="preserve">pump replacement
</t>
        </r>
      </text>
    </comment>
    <comment ref="I81" authorId="0" shapeId="0" xr:uid="{1C0A92D9-9927-4DE3-99DD-B3A4B34955E2}">
      <text>
        <r>
          <rPr>
            <sz val="9"/>
            <color indexed="81"/>
            <rFont val="Tahoma"/>
            <family val="2"/>
          </rPr>
          <t xml:space="preserve">5% increase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G6" authorId="0" shapeId="0" xr:uid="{13F6BD8C-A112-4CEC-94BA-106808859988}">
      <text>
        <r>
          <rPr>
            <sz val="9"/>
            <color indexed="81"/>
            <rFont val="Tahoma"/>
            <family val="2"/>
          </rPr>
          <t xml:space="preserve">May 25 2026
</t>
        </r>
      </text>
    </comment>
    <comment ref="K6" authorId="0" shapeId="0" xr:uid="{C70CFF1C-F24A-482A-917B-85273D18FF95}">
      <text>
        <r>
          <rPr>
            <sz val="9"/>
            <color indexed="81"/>
            <rFont val="Tahoma"/>
            <family val="2"/>
          </rPr>
          <t xml:space="preserve">Sep 7 2026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Bach</author>
  </authors>
  <commentList>
    <comment ref="D6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each patrol is 2 hours 
</t>
        </r>
      </text>
    </comment>
  </commentList>
</comments>
</file>

<file path=xl/sharedStrings.xml><?xml version="1.0" encoding="utf-8"?>
<sst xmlns="http://schemas.openxmlformats.org/spreadsheetml/2006/main" count="698" uniqueCount="247">
  <si>
    <t>Ordinary Income/Expense</t>
  </si>
  <si>
    <t>Income</t>
  </si>
  <si>
    <t>HOA Dues</t>
  </si>
  <si>
    <t>Interest Income</t>
  </si>
  <si>
    <t>Insurance</t>
  </si>
  <si>
    <t>Maintenance &amp; Repairs</t>
  </si>
  <si>
    <t>Electrical</t>
  </si>
  <si>
    <t>Parks &amp; Grounds</t>
  </si>
  <si>
    <t>Lawn Mowing Service</t>
  </si>
  <si>
    <t>Misc. Arapaho Median</t>
  </si>
  <si>
    <t>Sprinkler Repair</t>
  </si>
  <si>
    <t>Tree Trimming</t>
  </si>
  <si>
    <t>Misc. P&amp;G</t>
  </si>
  <si>
    <t>Total Parks &amp; Grounds</t>
  </si>
  <si>
    <t>Pool Expense</t>
  </si>
  <si>
    <t>Chemicals</t>
  </si>
  <si>
    <t>Payroll Expenses</t>
  </si>
  <si>
    <t>Wages for Attendant</t>
  </si>
  <si>
    <t>Total Payroll Expenses</t>
  </si>
  <si>
    <t>Repairs</t>
  </si>
  <si>
    <t>Supplies</t>
  </si>
  <si>
    <t>Total Pool Expense</t>
  </si>
  <si>
    <t>Postage &amp; PO Box</t>
  </si>
  <si>
    <t>Security - Park Patrol</t>
  </si>
  <si>
    <t>Utilities</t>
  </si>
  <si>
    <t>Arapaho W&amp;S</t>
  </si>
  <si>
    <t>Electric</t>
  </si>
  <si>
    <t>Total Utilities</t>
  </si>
  <si>
    <t>Total Expense</t>
  </si>
  <si>
    <t>Holiday Park Homeowners Association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</si>
  <si>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</si>
  <si>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</si>
  <si>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</si>
  <si>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</si>
  <si>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</si>
  <si>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</si>
  <si>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</si>
  <si>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</si>
  <si>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</si>
  <si>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</si>
  <si>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Variance</t>
  </si>
  <si>
    <t>Budget</t>
  </si>
  <si>
    <t>Forecast</t>
  </si>
  <si>
    <t>B / (W) than</t>
  </si>
  <si>
    <t>Actual</t>
  </si>
  <si>
    <t>Cash accounts</t>
  </si>
  <si>
    <t>Checking account</t>
  </si>
  <si>
    <t>HOLIDAY PARK</t>
  </si>
  <si>
    <t>Homeowners Association</t>
  </si>
  <si>
    <t>Jun</t>
  </si>
  <si>
    <t>Jul</t>
  </si>
  <si>
    <t>Closed</t>
  </si>
  <si>
    <t>Open</t>
  </si>
  <si>
    <t>Closed/Open</t>
  </si>
  <si>
    <t>Hours/Day</t>
  </si>
  <si>
    <t>Pay / hourly $</t>
  </si>
  <si>
    <t>Days/month Pool Attendant present</t>
  </si>
  <si>
    <t>Pool Open / Closed</t>
  </si>
  <si>
    <t>Pool opens May 15th</t>
  </si>
  <si>
    <t>Keys &amp; Locksmith</t>
  </si>
  <si>
    <t>Pool Furniture</t>
  </si>
  <si>
    <t>Local Taxes</t>
  </si>
  <si>
    <t>Property Management Expenses</t>
  </si>
  <si>
    <t>Late Payments (Dues)</t>
  </si>
  <si>
    <t>Dues</t>
  </si>
  <si>
    <t>Fences &amp; Gates</t>
  </si>
  <si>
    <t>Total Dues</t>
  </si>
  <si>
    <t>TOTAL YR</t>
  </si>
  <si>
    <t>Monthly Service Management Fee</t>
  </si>
  <si>
    <t>Payroll Preparation</t>
  </si>
  <si>
    <t>Project Management Fee</t>
  </si>
  <si>
    <t>Resale Certificate Fee</t>
  </si>
  <si>
    <t>Water &amp; Sewage - park</t>
  </si>
  <si>
    <t>Legal Fees - incl. court filings, liens</t>
  </si>
  <si>
    <t>Permits &amp; License Reqmts - incl. safety course</t>
  </si>
  <si>
    <t>Project and Required Maintenance</t>
  </si>
  <si>
    <t>Deck &amp; Pool Repair</t>
  </si>
  <si>
    <t>Savings - reserve</t>
  </si>
  <si>
    <t>Accounting Fees-incl. tax/audit</t>
  </si>
  <si>
    <t>Social Events - incl. food &amp; beverage</t>
  </si>
  <si>
    <t>Texas Republic Bank - loan</t>
  </si>
  <si>
    <t>Beginning balance</t>
  </si>
  <si>
    <t>withdrawals</t>
  </si>
  <si>
    <t>Interest</t>
  </si>
  <si>
    <t>Principal</t>
  </si>
  <si>
    <t>Loan Pmt</t>
  </si>
  <si>
    <t>Ending balance - loan outstanding</t>
  </si>
  <si>
    <t>Landscaping (walkways &amp; shrubs)</t>
  </si>
  <si>
    <t>m</t>
  </si>
  <si>
    <t>t</t>
  </si>
  <si>
    <t>w</t>
  </si>
  <si>
    <t>th</t>
  </si>
  <si>
    <t>f</t>
  </si>
  <si>
    <t>sa</t>
  </si>
  <si>
    <t>su</t>
  </si>
  <si>
    <t>hrs/wk</t>
  </si>
  <si>
    <t>hrs/day</t>
  </si>
  <si>
    <t>hrs/yr</t>
  </si>
  <si>
    <t>Other</t>
  </si>
  <si>
    <t>Benevolence Fund &amp; Donations</t>
  </si>
  <si>
    <t>Plumbing</t>
  </si>
  <si>
    <t>yrly &amp; semi</t>
  </si>
  <si>
    <t>qtly &amp; nonconf</t>
  </si>
  <si>
    <t>monthly / ACH</t>
  </si>
  <si>
    <t>assume always have 2 members behind</t>
  </si>
  <si>
    <t>Re-configure flower garden</t>
  </si>
  <si>
    <t>loan -------------&gt;</t>
  </si>
  <si>
    <t>Net Ordinary Income / (Loss)</t>
  </si>
  <si>
    <t>Net Income / (Loss) - cash basis</t>
  </si>
  <si>
    <t>Pool Cleaning Service</t>
  </si>
  <si>
    <t>Items need to check on</t>
  </si>
  <si>
    <t>2021 Forecast</t>
  </si>
  <si>
    <t>Bank Service Charges &amp; Fees</t>
  </si>
  <si>
    <t>Interest Expense - Loan</t>
  </si>
  <si>
    <t>Signs</t>
  </si>
  <si>
    <t>Total Maintenance &amp; repairs</t>
  </si>
  <si>
    <t>Contract - Attendant</t>
  </si>
  <si>
    <t>Processing Service</t>
  </si>
  <si>
    <t>Total - Property Management Expenses</t>
  </si>
  <si>
    <t>Total Other Expenses</t>
  </si>
  <si>
    <t>Administrative Expense</t>
  </si>
  <si>
    <t>Total Administrative Expenses</t>
  </si>
  <si>
    <t>Total Income &amp; Dues</t>
  </si>
  <si>
    <t>Other (Income) / Expenses</t>
  </si>
  <si>
    <t>Dues Adjustments</t>
  </si>
  <si>
    <t>Dec 31, 2021</t>
  </si>
  <si>
    <t>4.5% increase</t>
  </si>
  <si>
    <t>2022 Budget</t>
  </si>
  <si>
    <t>2022 - Project Spending - summary</t>
  </si>
  <si>
    <t>Loan Principal PMTS</t>
  </si>
  <si>
    <t>Net Cash</t>
  </si>
  <si>
    <t>Payoff Loan</t>
  </si>
  <si>
    <t>Install 4 bollard LED lights</t>
  </si>
  <si>
    <t>Install 2 handicap ramps</t>
  </si>
  <si>
    <t>wait till 2023</t>
  </si>
  <si>
    <t>Lay new electrical cable for park lights</t>
  </si>
  <si>
    <t>Rebuild 2nd wooden pool deck</t>
  </si>
  <si>
    <t>Re-stripe tennis court &amp; new net</t>
  </si>
  <si>
    <t>Basketball court improvements</t>
  </si>
  <si>
    <t>2023 HPHA BUDGET - cash basis</t>
  </si>
  <si>
    <t>stop</t>
  </si>
  <si>
    <t>Miscellaneous Income</t>
  </si>
  <si>
    <t>Legal &amp; Violation Fees / Lien Fees Assessed</t>
  </si>
  <si>
    <t>Tennis &amp; Basketball Courts</t>
  </si>
  <si>
    <t>Fertilizer &amp; Pest Control</t>
  </si>
  <si>
    <t>Mailing &amp; Printing Service, Office Supplies</t>
  </si>
  <si>
    <t>Transfer Fee/Resale Cert Income</t>
  </si>
  <si>
    <t>2022 HPHA BUDGET - cash basis</t>
  </si>
  <si>
    <t>2022 Forecast</t>
  </si>
  <si>
    <t>Pool closes Oct 10th</t>
  </si>
  <si>
    <t>summer</t>
  </si>
  <si>
    <t>during school</t>
  </si>
  <si>
    <t>Security Patrol</t>
  </si>
  <si>
    <t>Annual Expense</t>
  </si>
  <si>
    <t>Annual Hours</t>
  </si>
  <si>
    <t>Monthly</t>
  </si>
  <si>
    <t>Expense</t>
  </si>
  <si>
    <t>New Years Day</t>
  </si>
  <si>
    <t>2023 Budget</t>
  </si>
  <si>
    <t>Weeks</t>
  </si>
  <si>
    <t>Total</t>
  </si>
  <si>
    <t>Patrol - 2 hours / visit</t>
  </si>
  <si>
    <t>Net Cash - Gain / (Depletion)</t>
  </si>
  <si>
    <t>Dec 31, 2022</t>
  </si>
  <si>
    <t>Annual</t>
  </si>
  <si>
    <t>Monthly / ACH</t>
  </si>
  <si>
    <t>Qtly &amp; Randomly</t>
  </si>
  <si>
    <t>Rear walkways &amp; Common Park walkway</t>
  </si>
  <si>
    <t>2023 - Project Spending - summary</t>
  </si>
  <si>
    <t>Resurface Basketball Court</t>
  </si>
  <si>
    <t>Increase Savings Reserve</t>
  </si>
  <si>
    <t>wait till 2024</t>
  </si>
  <si>
    <t>Install 2 bollard LED lights</t>
  </si>
  <si>
    <t>East-end Playground</t>
  </si>
  <si>
    <t>Patrol/week</t>
  </si>
  <si>
    <t>Rate/Hr.</t>
  </si>
  <si>
    <t>2024 HPHA BUDGET - cash basis</t>
  </si>
  <si>
    <t>2023 Forecast</t>
  </si>
  <si>
    <t>2024 Budget</t>
  </si>
  <si>
    <t>2023 Forecast - cash basis</t>
  </si>
  <si>
    <t>Oct YTD</t>
  </si>
  <si>
    <t>Oct 31, 2023</t>
  </si>
  <si>
    <t>loan fees</t>
  </si>
  <si>
    <t>Telephone</t>
  </si>
  <si>
    <t>Web Site Hosting &amp; Domain Name &amp; Maintenance</t>
  </si>
  <si>
    <t>Taxes</t>
  </si>
  <si>
    <t>AT&amp;T internet</t>
  </si>
  <si>
    <t>adhesive signs for sidewalks</t>
  </si>
  <si>
    <t>Dec 31, 2023</t>
  </si>
  <si>
    <t>2024 - Project Spending Summary</t>
  </si>
  <si>
    <r>
      <t xml:space="preserve">2023 - Project Spending - </t>
    </r>
    <r>
      <rPr>
        <sz val="8"/>
        <color rgb="FF0000FF"/>
        <rFont val="Arial Narrow"/>
        <family val="2"/>
      </rPr>
      <t>east-end playground</t>
    </r>
  </si>
  <si>
    <t>Swimming Pool Repairs</t>
  </si>
  <si>
    <t>Re-surface/stripe tennis court</t>
  </si>
  <si>
    <t>Reconfigure pavilion bathrooms</t>
  </si>
  <si>
    <t>pool repairs</t>
  </si>
  <si>
    <t>take out a loan</t>
  </si>
  <si>
    <t>Pay down loan balance</t>
  </si>
  <si>
    <t>Swipe-card/fob pool keys</t>
  </si>
  <si>
    <t>2024 Budget Notes:</t>
  </si>
  <si>
    <t>- 4.5% increase in dues</t>
  </si>
  <si>
    <t>2024 Forecast</t>
  </si>
  <si>
    <t>Sep YTD</t>
  </si>
  <si>
    <t>Security Cameras</t>
  </si>
  <si>
    <t>captured above in "Loan Payments"</t>
  </si>
  <si>
    <t>2025 HPHA BUDGET - cash basis</t>
  </si>
  <si>
    <t>2025 Budget</t>
  </si>
  <si>
    <t>assume always have 3 members behind</t>
  </si>
  <si>
    <t>Dec 31, 2024</t>
  </si>
  <si>
    <t>2025 - Project Spending Summary</t>
  </si>
  <si>
    <t>2025 Budget Notes:</t>
  </si>
  <si>
    <t>Pool Attendant</t>
  </si>
  <si>
    <t>Contract Attendant</t>
  </si>
  <si>
    <t>school starts Aug 20th</t>
  </si>
  <si>
    <t>Add sprinkler station to east-end of park</t>
  </si>
  <si>
    <t>Mechanical Repairs</t>
  </si>
  <si>
    <t>Web Site</t>
  </si>
  <si>
    <t>Reconfigure pavilion bathroom access</t>
  </si>
  <si>
    <t>Repair ceiling in bathrooms and library</t>
  </si>
  <si>
    <t>3.0% increase</t>
  </si>
  <si>
    <t>- 3.0% increase in dues</t>
  </si>
  <si>
    <t>2026 Pool Attendant Budget (Wages for Attendant)</t>
  </si>
  <si>
    <t>2026 Budget</t>
  </si>
  <si>
    <t>2025 FCST</t>
  </si>
  <si>
    <t>2025 Forecast - cash basis</t>
  </si>
  <si>
    <t>2026 HPHA BUDGET - cash basis</t>
  </si>
  <si>
    <t>Trash Collection</t>
  </si>
  <si>
    <t>Sep 30, 2025</t>
  </si>
  <si>
    <t>YTD Loan</t>
  </si>
  <si>
    <t>2025 Forecast</t>
  </si>
  <si>
    <t>Install 2 handicap ramps - wait on City of Dallas</t>
  </si>
  <si>
    <t>Dec 31, 2025</t>
  </si>
  <si>
    <t>2026 - Project Spending Summary</t>
  </si>
  <si>
    <t>Convert two pole mounted walkway lights to tree lights</t>
  </si>
  <si>
    <t>2026 Budget Notes:</t>
  </si>
  <si>
    <t>Misc. P&amp;G (doggie bags &amp; light bulbs)</t>
  </si>
  <si>
    <t>Pool fence repair</t>
  </si>
  <si>
    <t>Oct 31, 2025</t>
  </si>
  <si>
    <t>incl. below</t>
  </si>
  <si>
    <t>memorial day</t>
  </si>
  <si>
    <t>Update Playground Equipment - Phase I</t>
  </si>
  <si>
    <t>labor day</t>
  </si>
  <si>
    <t>school out</t>
  </si>
  <si>
    <t>Summer Attendant Hours</t>
  </si>
  <si>
    <t>During School Attendant Hours</t>
  </si>
  <si>
    <t>6:00 PM to 9:00 PM</t>
  </si>
  <si>
    <t>10:00 AM to noon and 5:00 PM to 10:00 PM</t>
  </si>
  <si>
    <t>Sep TYD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</si>
</sst>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#,##0;\-#,##0"/>
    <numFmt numFmtId="166" formatCode="yyyy/mm/dd"/>
    <numFmt numFmtId="167" formatCode="&quot;$&quot;#,##0"/>
    <numFmt numFmtId="168" formatCode="&quot;$&quot;#,##0.00"/>
    <numFmt numFmtId="169" formatCode="_(* #,##0_);_(* \(#,##0\);_(* &quot;-&quot;??_);_(@_)"/>
    <numFmt numFmtId="170" formatCode="[$-409]mmmm\ d\,\ yyyy;@"/>
    <numFmt numFmtId="171" formatCode="0.0%"/>
    <numFmt numFmtId="172" formatCode="[$-409]ddd\,\ mmm\ dd\,\ yyyy"/>
    <numFmt numFmtId="173" formatCode="0.0"/>
    <numFmt numFmtId="174" formatCode="_([$$-409]* #,##0_);_([$$-409]* \(#,##0\);_([$$-409]* &quot;-&quot;??_);_(@_)"/>
    <numFmt numFmtId="175" formatCode="[$-409]dddd\,\ mmm\ dd\,\ yyyy"/>
    <numFmt numFmtId="176" formatCode="[$-409]mmm"/>
    <numFmt numFmtId="177" formatCode="&quot;$&quot;#,##0.0"/>
  </numFmts>
  <fonts count="7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12"/>
      <name val="Arial Narrow"/>
      <family val="2"/>
    </font>
    <font>
      <sz val="8"/>
      <color indexed="8"/>
      <name val="Arial Narrow"/>
      <family val="2"/>
    </font>
    <font>
      <b/>
      <u/>
      <sz val="10"/>
      <color indexed="8"/>
      <name val="Arial Narrow"/>
      <family val="2"/>
    </font>
    <font>
      <sz val="8"/>
      <color indexed="22"/>
      <name val="Arial Narrow"/>
      <family val="2"/>
    </font>
    <font>
      <sz val="8"/>
      <color indexed="12"/>
      <name val="Arial Narrow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  <font>
      <sz val="10"/>
      <color indexed="63"/>
      <name val="Arial Narrow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trike/>
      <sz val="10"/>
      <color indexed="8"/>
      <name val="Arial Narrow"/>
      <family val="2"/>
    </font>
    <font>
      <sz val="8"/>
      <color rgb="FFFF0000"/>
      <name val="Arial Narrow"/>
      <family val="2"/>
    </font>
    <font>
      <u/>
      <sz val="8"/>
      <color indexed="8"/>
      <name val="Arial Narrow"/>
      <family val="2"/>
    </font>
    <font>
      <i/>
      <sz val="10"/>
      <color indexed="8"/>
      <name val="Arial Narrow"/>
      <family val="2"/>
    </font>
    <font>
      <sz val="8"/>
      <color indexed="10"/>
      <name val="Arial"/>
      <family val="2"/>
    </font>
    <font>
      <b/>
      <u/>
      <sz val="8"/>
      <color indexed="8"/>
      <name val="Arial Narrow"/>
      <family val="2"/>
    </font>
    <font>
      <sz val="8"/>
      <color theme="0" tint="-0.249977111117893"/>
      <name val="Arial Narrow"/>
      <family val="2"/>
    </font>
    <font>
      <sz val="11"/>
      <color theme="1"/>
      <name val="Calibri"/>
      <family val="2"/>
      <scheme val="minor"/>
    </font>
    <font>
      <sz val="10"/>
      <color theme="0" tint="-0.249977111117893"/>
      <name val="Arial Narrow"/>
      <family val="2"/>
    </font>
    <font>
      <sz val="10"/>
      <color theme="0" tint="-0.34998626667073579"/>
      <name val="Arial Narrow"/>
      <family val="2"/>
    </font>
    <font>
      <sz val="8"/>
      <color theme="0" tint="-0.34998626667073579"/>
      <name val="Arial Narrow"/>
      <family val="2"/>
    </font>
    <font>
      <u/>
      <sz val="10"/>
      <color rgb="FF0000FF"/>
      <name val="Arial Narrow"/>
      <family val="2"/>
    </font>
    <font>
      <b/>
      <sz val="10"/>
      <color rgb="FF0000FF"/>
      <name val="Arial Narrow"/>
      <family val="2"/>
    </font>
    <font>
      <sz val="8"/>
      <name val="Arial Narrow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u/>
      <sz val="10"/>
      <name val="Arial Narrow"/>
      <family val="2"/>
    </font>
    <font>
      <b/>
      <sz val="10"/>
      <color rgb="FFFF0000"/>
      <name val="Arial Narrow"/>
      <family val="2"/>
    </font>
    <font>
      <sz val="8"/>
      <color rgb="FF0000FF"/>
      <name val="Arial Narrow"/>
      <family val="2"/>
    </font>
    <font>
      <sz val="8"/>
      <color rgb="FFFF0000"/>
      <name val="Arial"/>
      <family val="2"/>
    </font>
    <font>
      <b/>
      <u/>
      <sz val="10"/>
      <name val="Arial Narrow"/>
      <family val="2"/>
    </font>
    <font>
      <sz val="10"/>
      <color theme="0" tint="-0.34998626667073579"/>
      <name val="Arial"/>
      <family val="2"/>
    </font>
    <font>
      <b/>
      <u/>
      <sz val="10"/>
      <color rgb="FF000000"/>
      <name val="Arial"/>
      <family val="2"/>
    </font>
    <font>
      <b/>
      <sz val="10"/>
      <color theme="0" tint="-0.34998626667073579"/>
      <name val="Arial Narrow"/>
      <family val="2"/>
    </font>
    <font>
      <sz val="9"/>
      <color theme="0" tint="-0.34998626667073579"/>
      <name val="Arial Narrow"/>
      <family val="2"/>
    </font>
    <font>
      <b/>
      <sz val="10"/>
      <color indexed="63"/>
      <name val="Arial Narrow"/>
      <family val="2"/>
    </font>
    <font>
      <u/>
      <sz val="10"/>
      <color theme="0" tint="-0.34998626667073579"/>
      <name val="Arial Narrow"/>
      <family val="2"/>
    </font>
    <font>
      <b/>
      <sz val="10"/>
      <color indexed="12"/>
      <name val="Arial"/>
      <family val="2"/>
    </font>
    <font>
      <u/>
      <sz val="10"/>
      <color rgb="FF000000"/>
      <name val="Arial"/>
      <family val="2"/>
    </font>
    <font>
      <sz val="10"/>
      <color indexed="10"/>
      <name val="Arial"/>
      <family val="2"/>
    </font>
    <font>
      <u/>
      <sz val="10"/>
      <color indexed="8"/>
      <name val="Arial"/>
      <family val="2"/>
    </font>
    <font>
      <sz val="7"/>
      <name val="Arial Narrow"/>
      <family val="2"/>
    </font>
    <font>
      <b/>
      <sz val="9"/>
      <color indexed="81"/>
      <name val="Tahoma"/>
      <family val="2"/>
    </font>
    <font>
      <b/>
      <u/>
      <sz val="14"/>
      <color indexed="8"/>
      <name val="Arial Narrow"/>
      <family val="2"/>
    </font>
    <font>
      <sz val="14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indexed="8"/>
      <name val="Arial Narrow"/>
      <family val="2"/>
    </font>
    <font>
      <strike/>
      <sz val="10"/>
      <color theme="0" tint="-0.34998626667073579"/>
      <name val="Arial Narrow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b/>
      <sz val="10"/>
      <color rgb="FF0000FF"/>
      <name val="Arial"/>
      <family val="2"/>
    </font>
    <font>
      <u/>
      <sz val="8"/>
      <color theme="0" tint="-0.34998626667073579"/>
      <name val="Arial Narrow"/>
      <family val="2"/>
    </font>
    <font>
      <b/>
      <u/>
      <sz val="10"/>
      <color theme="0" tint="-0.34998626667073579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indexed="4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1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8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0" fontId="60" fillId="0" borderId="0"/>
    <xf numFmtId="0" fontId="61" fillId="0" borderId="2"/>
  </cellStyleXfs>
  <cellXfs count="401">
    <xf numFmtId="0" fontId="0" fillId="0" borderId="0" xfId="0"/>
    <xf numFmtId="0" fontId="3" fillId="0" borderId="0" xfId="4" applyFont="1" applyAlignment="1">
      <alignment horizontal="right"/>
    </xf>
    <xf numFmtId="0" fontId="18" fillId="0" borderId="0" xfId="4"/>
    <xf numFmtId="0" fontId="3" fillId="0" borderId="0" xfId="4" applyFont="1"/>
    <xf numFmtId="41" fontId="6" fillId="0" borderId="0" xfId="4" applyNumberFormat="1" applyFont="1" applyAlignment="1">
      <alignment horizontal="centerContinuous"/>
    </xf>
    <xf numFmtId="41" fontId="7" fillId="0" borderId="0" xfId="4" applyNumberFormat="1" applyFont="1"/>
    <xf numFmtId="15" fontId="8" fillId="0" borderId="0" xfId="4" applyNumberFormat="1" applyFont="1" applyAlignment="1">
      <alignment horizontal="left"/>
    </xf>
    <xf numFmtId="41" fontId="7" fillId="0" borderId="0" xfId="4" applyNumberFormat="1" applyFont="1" applyAlignment="1">
      <alignment horizontal="left"/>
    </xf>
    <xf numFmtId="41" fontId="6" fillId="0" borderId="0" xfId="4" applyNumberFormat="1" applyFont="1" applyAlignment="1">
      <alignment horizontal="left"/>
    </xf>
    <xf numFmtId="0" fontId="7" fillId="0" borderId="0" xfId="4" applyFont="1" applyAlignment="1">
      <alignment horizontal="left"/>
    </xf>
    <xf numFmtId="41" fontId="6" fillId="0" borderId="0" xfId="4" applyNumberFormat="1" applyFont="1"/>
    <xf numFmtId="41" fontId="9" fillId="0" borderId="0" xfId="4" applyNumberFormat="1" applyFont="1" applyAlignment="1">
      <alignment horizontal="center"/>
    </xf>
    <xf numFmtId="41" fontId="6" fillId="0" borderId="5" xfId="4" applyNumberFormat="1" applyFont="1" applyBorder="1"/>
    <xf numFmtId="41" fontId="3" fillId="0" borderId="0" xfId="4" applyNumberFormat="1" applyFont="1" applyAlignment="1">
      <alignment horizontal="centerContinuous"/>
    </xf>
    <xf numFmtId="41" fontId="3" fillId="0" borderId="0" xfId="4" applyNumberFormat="1" applyFont="1"/>
    <xf numFmtId="0" fontId="2" fillId="0" borderId="0" xfId="4" applyFont="1" applyAlignment="1">
      <alignment horizontal="center"/>
    </xf>
    <xf numFmtId="0" fontId="15" fillId="0" borderId="0" xfId="4" applyFont="1"/>
    <xf numFmtId="0" fontId="2" fillId="0" borderId="0" xfId="4" applyFont="1" applyAlignment="1">
      <alignment horizontal="right"/>
    </xf>
    <xf numFmtId="167" fontId="4" fillId="0" borderId="0" xfId="4" applyNumberFormat="1" applyFont="1"/>
    <xf numFmtId="0" fontId="2" fillId="0" borderId="0" xfId="4" applyFont="1" applyAlignment="1">
      <alignment horizontal="center" wrapText="1"/>
    </xf>
    <xf numFmtId="41" fontId="4" fillId="0" borderId="2" xfId="4" applyNumberFormat="1" applyFont="1" applyBorder="1" applyAlignment="1">
      <alignment horizontal="center"/>
    </xf>
    <xf numFmtId="16" fontId="15" fillId="0" borderId="0" xfId="4" quotePrefix="1" applyNumberFormat="1" applyFont="1" applyAlignment="1">
      <alignment horizontal="center"/>
    </xf>
    <xf numFmtId="168" fontId="1" fillId="0" borderId="0" xfId="2" applyNumberFormat="1" applyFont="1" applyAlignment="1"/>
    <xf numFmtId="3" fontId="3" fillId="0" borderId="0" xfId="4" applyNumberFormat="1" applyFont="1"/>
    <xf numFmtId="164" fontId="16" fillId="0" borderId="0" xfId="0" applyNumberFormat="1" applyFont="1"/>
    <xf numFmtId="0" fontId="16" fillId="0" borderId="0" xfId="0" applyFont="1"/>
    <xf numFmtId="0" fontId="7" fillId="0" borderId="0" xfId="0" applyFont="1"/>
    <xf numFmtId="42" fontId="0" fillId="0" borderId="0" xfId="0" applyNumberFormat="1"/>
    <xf numFmtId="0" fontId="1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7" fontId="7" fillId="0" borderId="0" xfId="0" applyNumberFormat="1" applyFont="1" applyAlignment="1">
      <alignment horizontal="centerContinuous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41" fontId="19" fillId="0" borderId="0" xfId="4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9" fillId="0" borderId="0" xfId="0" applyNumberFormat="1" applyFont="1"/>
    <xf numFmtId="49" fontId="20" fillId="0" borderId="0" xfId="0" applyNumberFormat="1" applyFont="1"/>
    <xf numFmtId="164" fontId="19" fillId="0" borderId="0" xfId="0" applyNumberFormat="1" applyFont="1"/>
    <xf numFmtId="165" fontId="21" fillId="0" borderId="0" xfId="0" applyNumberFormat="1" applyFont="1"/>
    <xf numFmtId="165" fontId="16" fillId="0" borderId="7" xfId="0" applyNumberFormat="1" applyFont="1" applyBorder="1"/>
    <xf numFmtId="165" fontId="20" fillId="0" borderId="0" xfId="0" applyNumberFormat="1" applyFont="1"/>
    <xf numFmtId="0" fontId="19" fillId="0" borderId="0" xfId="3" applyFont="1"/>
    <xf numFmtId="165" fontId="16" fillId="0" borderId="0" xfId="0" applyNumberFormat="1" applyFont="1"/>
    <xf numFmtId="0" fontId="20" fillId="0" borderId="0" xfId="3" applyFont="1"/>
    <xf numFmtId="0" fontId="19" fillId="0" borderId="0" xfId="3" quotePrefix="1" applyFont="1" applyAlignment="1">
      <alignment horizontal="left"/>
    </xf>
    <xf numFmtId="165" fontId="20" fillId="0" borderId="7" xfId="0" applyNumberFormat="1" applyFont="1" applyBorder="1"/>
    <xf numFmtId="165" fontId="19" fillId="0" borderId="0" xfId="0" applyNumberFormat="1" applyFont="1"/>
    <xf numFmtId="20" fontId="20" fillId="0" borderId="0" xfId="3" applyNumberFormat="1" applyFont="1"/>
    <xf numFmtId="0" fontId="23" fillId="0" borderId="0" xfId="0" applyFont="1"/>
    <xf numFmtId="169" fontId="24" fillId="0" borderId="0" xfId="0" applyNumberFormat="1" applyFont="1"/>
    <xf numFmtId="165" fontId="7" fillId="0" borderId="0" xfId="0" applyNumberFormat="1" applyFont="1"/>
    <xf numFmtId="167" fontId="7" fillId="0" borderId="0" xfId="0" applyNumberFormat="1" applyFont="1"/>
    <xf numFmtId="41" fontId="10" fillId="0" borderId="0" xfId="4" applyNumberFormat="1" applyFont="1" applyAlignment="1">
      <alignment horizontal="left"/>
    </xf>
    <xf numFmtId="166" fontId="25" fillId="0" borderId="0" xfId="4" applyNumberFormat="1" applyFont="1" applyAlignment="1">
      <alignment horizontal="center"/>
    </xf>
    <xf numFmtId="41" fontId="26" fillId="0" borderId="0" xfId="4" applyNumberFormat="1" applyFont="1" applyAlignment="1">
      <alignment horizontal="right"/>
    </xf>
    <xf numFmtId="41" fontId="7" fillId="0" borderId="1" xfId="4" applyNumberFormat="1" applyFont="1" applyBorder="1"/>
    <xf numFmtId="167" fontId="21" fillId="0" borderId="0" xfId="0" applyNumberFormat="1" applyFont="1"/>
    <xf numFmtId="41" fontId="7" fillId="0" borderId="0" xfId="4" quotePrefix="1" applyNumberFormat="1" applyFont="1" applyAlignment="1">
      <alignment horizontal="left"/>
    </xf>
    <xf numFmtId="3" fontId="27" fillId="0" borderId="0" xfId="4" applyNumberFormat="1" applyFont="1"/>
    <xf numFmtId="0" fontId="2" fillId="4" borderId="0" xfId="4" applyFont="1" applyFill="1" applyAlignment="1">
      <alignment horizontal="center"/>
    </xf>
    <xf numFmtId="0" fontId="2" fillId="5" borderId="0" xfId="4" applyFont="1" applyFill="1" applyAlignment="1">
      <alignment horizontal="center"/>
    </xf>
    <xf numFmtId="41" fontId="6" fillId="2" borderId="10" xfId="4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164" fontId="19" fillId="0" borderId="8" xfId="0" applyNumberFormat="1" applyFont="1" applyBorder="1"/>
    <xf numFmtId="165" fontId="19" fillId="0" borderId="8" xfId="0" applyNumberFormat="1" applyFont="1" applyBorder="1"/>
    <xf numFmtId="165" fontId="19" fillId="0" borderId="9" xfId="0" applyNumberFormat="1" applyFont="1" applyBorder="1"/>
    <xf numFmtId="165" fontId="20" fillId="0" borderId="8" xfId="0" applyNumberFormat="1" applyFont="1" applyBorder="1"/>
    <xf numFmtId="165" fontId="20" fillId="0" borderId="9" xfId="0" applyNumberFormat="1" applyFont="1" applyBorder="1"/>
    <xf numFmtId="165" fontId="19" fillId="0" borderId="2" xfId="0" applyNumberFormat="1" applyFont="1" applyBorder="1"/>
    <xf numFmtId="167" fontId="7" fillId="0" borderId="7" xfId="0" applyNumberFormat="1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41" fontId="7" fillId="6" borderId="4" xfId="4" applyNumberFormat="1" applyFont="1" applyFill="1" applyBorder="1" applyAlignment="1">
      <alignment horizontal="center"/>
    </xf>
    <xf numFmtId="49" fontId="19" fillId="6" borderId="14" xfId="0" quotePrefix="1" applyNumberFormat="1" applyFont="1" applyFill="1" applyBorder="1" applyAlignment="1">
      <alignment horizontal="center"/>
    </xf>
    <xf numFmtId="167" fontId="19" fillId="6" borderId="4" xfId="0" applyNumberFormat="1" applyFont="1" applyFill="1" applyBorder="1" applyAlignment="1">
      <alignment horizontal="center"/>
    </xf>
    <xf numFmtId="165" fontId="19" fillId="0" borderId="7" xfId="0" applyNumberFormat="1" applyFont="1" applyBorder="1"/>
    <xf numFmtId="41" fontId="7" fillId="6" borderId="4" xfId="4" applyNumberFormat="1" applyFont="1" applyFill="1" applyBorder="1"/>
    <xf numFmtId="165" fontId="19" fillId="6" borderId="4" xfId="0" applyNumberFormat="1" applyFont="1" applyFill="1" applyBorder="1"/>
    <xf numFmtId="165" fontId="19" fillId="6" borderId="10" xfId="0" applyNumberFormat="1" applyFont="1" applyFill="1" applyBorder="1"/>
    <xf numFmtId="165" fontId="20" fillId="6" borderId="4" xfId="0" applyNumberFormat="1" applyFont="1" applyFill="1" applyBorder="1"/>
    <xf numFmtId="165" fontId="20" fillId="6" borderId="10" xfId="0" applyNumberFormat="1" applyFont="1" applyFill="1" applyBorder="1"/>
    <xf numFmtId="22" fontId="7" fillId="0" borderId="0" xfId="0" applyNumberFormat="1" applyFont="1"/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41" fontId="7" fillId="7" borderId="0" xfId="4" applyNumberFormat="1" applyFont="1" applyFill="1"/>
    <xf numFmtId="166" fontId="28" fillId="0" borderId="0" xfId="4" quotePrefix="1" applyNumberFormat="1" applyFont="1" applyAlignment="1">
      <alignment horizontal="center"/>
    </xf>
    <xf numFmtId="165" fontId="7" fillId="0" borderId="8" xfId="0" applyNumberFormat="1" applyFont="1" applyBorder="1"/>
    <xf numFmtId="41" fontId="7" fillId="7" borderId="8" xfId="4" applyNumberFormat="1" applyFont="1" applyFill="1" applyBorder="1"/>
    <xf numFmtId="41" fontId="7" fillId="0" borderId="9" xfId="4" applyNumberFormat="1" applyFont="1" applyBorder="1"/>
    <xf numFmtId="41" fontId="6" fillId="0" borderId="15" xfId="4" applyNumberFormat="1" applyFont="1" applyBorder="1"/>
    <xf numFmtId="41" fontId="11" fillId="0" borderId="12" xfId="4" applyNumberFormat="1" applyFont="1" applyBorder="1"/>
    <xf numFmtId="41" fontId="12" fillId="0" borderId="13" xfId="4" applyNumberFormat="1" applyFont="1" applyBorder="1"/>
    <xf numFmtId="170" fontId="29" fillId="0" borderId="0" xfId="0" applyNumberFormat="1" applyFont="1" applyAlignment="1">
      <alignment horizontal="left"/>
    </xf>
    <xf numFmtId="171" fontId="19" fillId="0" borderId="0" xfId="5" applyNumberFormat="1" applyFont="1"/>
    <xf numFmtId="0" fontId="7" fillId="0" borderId="0" xfId="4" applyFont="1"/>
    <xf numFmtId="165" fontId="32" fillId="0" borderId="0" xfId="0" applyNumberFormat="1" applyFont="1"/>
    <xf numFmtId="169" fontId="33" fillId="0" borderId="0" xfId="0" applyNumberFormat="1" applyFont="1"/>
    <xf numFmtId="167" fontId="32" fillId="0" borderId="0" xfId="0" applyNumberFormat="1" applyFont="1"/>
    <xf numFmtId="22" fontId="32" fillId="0" borderId="0" xfId="0" applyNumberFormat="1" applyFont="1"/>
    <xf numFmtId="22" fontId="31" fillId="0" borderId="0" xfId="0" applyNumberFormat="1" applyFont="1" applyAlignment="1">
      <alignment horizontal="left"/>
    </xf>
    <xf numFmtId="167" fontId="21" fillId="0" borderId="0" xfId="4" applyNumberFormat="1" applyFont="1"/>
    <xf numFmtId="41" fontId="10" fillId="0" borderId="0" xfId="4" quotePrefix="1" applyNumberFormat="1" applyFont="1" applyAlignment="1">
      <alignment horizontal="left"/>
    </xf>
    <xf numFmtId="41" fontId="11" fillId="0" borderId="0" xfId="4" applyNumberFormat="1" applyFont="1"/>
    <xf numFmtId="41" fontId="12" fillId="0" borderId="0" xfId="4" applyNumberFormat="1" applyFont="1"/>
    <xf numFmtId="10" fontId="21" fillId="0" borderId="0" xfId="5" applyNumberFormat="1" applyFont="1"/>
    <xf numFmtId="0" fontId="16" fillId="0" borderId="0" xfId="0" quotePrefix="1" applyFont="1" applyAlignment="1">
      <alignment horizontal="left"/>
    </xf>
    <xf numFmtId="165" fontId="34" fillId="0" borderId="0" xfId="0" applyNumberFormat="1" applyFont="1"/>
    <xf numFmtId="167" fontId="20" fillId="0" borderId="0" xfId="4" applyNumberFormat="1" applyFont="1"/>
    <xf numFmtId="168" fontId="19" fillId="0" borderId="0" xfId="0" applyNumberFormat="1" applyFont="1"/>
    <xf numFmtId="9" fontId="19" fillId="0" borderId="0" xfId="0" applyNumberFormat="1" applyFont="1"/>
    <xf numFmtId="0" fontId="7" fillId="0" borderId="0" xfId="0" applyFont="1" applyAlignment="1">
      <alignment horizontal="right"/>
    </xf>
    <xf numFmtId="168" fontId="7" fillId="0" borderId="0" xfId="0" applyNumberFormat="1" applyFont="1"/>
    <xf numFmtId="43" fontId="22" fillId="0" borderId="0" xfId="0" applyNumberFormat="1" applyFont="1"/>
    <xf numFmtId="0" fontId="36" fillId="0" borderId="0" xfId="0" quotePrefix="1" applyFont="1" applyAlignment="1">
      <alignment horizontal="center"/>
    </xf>
    <xf numFmtId="16" fontId="18" fillId="0" borderId="0" xfId="4" quotePrefix="1" applyNumberFormat="1" applyAlignment="1">
      <alignment horizontal="left"/>
    </xf>
    <xf numFmtId="0" fontId="38" fillId="0" borderId="0" xfId="4" applyFont="1" applyAlignment="1">
      <alignment horizontal="center"/>
    </xf>
    <xf numFmtId="0" fontId="37" fillId="0" borderId="0" xfId="4" applyFont="1"/>
    <xf numFmtId="173" fontId="1" fillId="0" borderId="0" xfId="4" applyNumberFormat="1" applyFont="1"/>
    <xf numFmtId="173" fontId="18" fillId="0" borderId="0" xfId="4" applyNumberFormat="1"/>
    <xf numFmtId="167" fontId="18" fillId="0" borderId="0" xfId="4" applyNumberFormat="1"/>
    <xf numFmtId="0" fontId="18" fillId="0" borderId="0" xfId="4" quotePrefix="1" applyAlignment="1">
      <alignment horizontal="left"/>
    </xf>
    <xf numFmtId="0" fontId="19" fillId="0" borderId="0" xfId="0" quotePrefix="1" applyFont="1" applyAlignment="1">
      <alignment horizontal="right"/>
    </xf>
    <xf numFmtId="0" fontId="20" fillId="0" borderId="0" xfId="0" applyFont="1"/>
    <xf numFmtId="0" fontId="10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0" fontId="7" fillId="0" borderId="0" xfId="4" quotePrefix="1" applyFont="1" applyAlignment="1">
      <alignment horizontal="left"/>
    </xf>
    <xf numFmtId="0" fontId="26" fillId="0" borderId="0" xfId="4" applyFont="1" applyAlignment="1">
      <alignment horizontal="right"/>
    </xf>
    <xf numFmtId="0" fontId="6" fillId="0" borderId="0" xfId="4" applyFont="1"/>
    <xf numFmtId="0" fontId="10" fillId="0" borderId="0" xfId="4" quotePrefix="1" applyFont="1" applyAlignment="1">
      <alignment horizontal="left"/>
    </xf>
    <xf numFmtId="0" fontId="21" fillId="0" borderId="0" xfId="5" applyNumberFormat="1" applyFont="1"/>
    <xf numFmtId="41" fontId="7" fillId="0" borderId="0" xfId="0" applyNumberFormat="1" applyFont="1"/>
    <xf numFmtId="0" fontId="19" fillId="0" borderId="0" xfId="0" quotePrefix="1" applyFont="1" applyAlignment="1">
      <alignment horizontal="left"/>
    </xf>
    <xf numFmtId="9" fontId="21" fillId="0" borderId="0" xfId="5" applyFont="1" applyFill="1"/>
    <xf numFmtId="165" fontId="20" fillId="0" borderId="19" xfId="0" applyNumberFormat="1" applyFont="1" applyBorder="1"/>
    <xf numFmtId="165" fontId="20" fillId="0" borderId="20" xfId="0" applyNumberFormat="1" applyFont="1" applyBorder="1"/>
    <xf numFmtId="0" fontId="9" fillId="0" borderId="0" xfId="0" quotePrefix="1" applyFont="1" applyAlignment="1">
      <alignment horizontal="center"/>
    </xf>
    <xf numFmtId="165" fontId="21" fillId="0" borderId="0" xfId="0" quotePrefix="1" applyNumberFormat="1" applyFont="1" applyAlignment="1">
      <alignment horizontal="right"/>
    </xf>
    <xf numFmtId="165" fontId="21" fillId="8" borderId="0" xfId="0" applyNumberFormat="1" applyFont="1" applyFill="1"/>
    <xf numFmtId="0" fontId="21" fillId="0" borderId="0" xfId="3" quotePrefix="1" applyFont="1" applyAlignment="1">
      <alignment horizontal="left"/>
    </xf>
    <xf numFmtId="0" fontId="21" fillId="0" borderId="0" xfId="0" applyFont="1"/>
    <xf numFmtId="0" fontId="21" fillId="0" borderId="0" xfId="0" quotePrefix="1" applyFont="1" applyAlignment="1">
      <alignment horizontal="left"/>
    </xf>
    <xf numFmtId="174" fontId="19" fillId="0" borderId="0" xfId="0" applyNumberFormat="1" applyFont="1"/>
    <xf numFmtId="49" fontId="19" fillId="0" borderId="0" xfId="0" quotePrefix="1" applyNumberFormat="1" applyFont="1" applyAlignment="1">
      <alignment horizontal="left"/>
    </xf>
    <xf numFmtId="0" fontId="1" fillId="0" borderId="0" xfId="4" quotePrefix="1" applyFont="1" applyAlignment="1">
      <alignment horizontal="center"/>
    </xf>
    <xf numFmtId="165" fontId="19" fillId="0" borderId="22" xfId="0" applyNumberFormat="1" applyFont="1" applyBorder="1"/>
    <xf numFmtId="165" fontId="20" fillId="0" borderId="21" xfId="0" applyNumberFormat="1" applyFont="1" applyBorder="1"/>
    <xf numFmtId="165" fontId="41" fillId="0" borderId="22" xfId="0" applyNumberFormat="1" applyFont="1" applyBorder="1"/>
    <xf numFmtId="169" fontId="11" fillId="0" borderId="12" xfId="6" applyNumberFormat="1" applyFont="1" applyBorder="1" applyAlignment="1"/>
    <xf numFmtId="41" fontId="6" fillId="0" borderId="0" xfId="4" quotePrefix="1" applyNumberFormat="1" applyFont="1" applyAlignment="1">
      <alignment horizontal="centerContinuous"/>
    </xf>
    <xf numFmtId="168" fontId="21" fillId="0" borderId="0" xfId="0" applyNumberFormat="1" applyFont="1"/>
    <xf numFmtId="174" fontId="21" fillId="0" borderId="0" xfId="0" applyNumberFormat="1" applyFont="1"/>
    <xf numFmtId="0" fontId="20" fillId="7" borderId="0" xfId="3" applyFont="1" applyFill="1"/>
    <xf numFmtId="0" fontId="16" fillId="7" borderId="0" xfId="0" applyFont="1" applyFill="1"/>
    <xf numFmtId="41" fontId="42" fillId="0" borderId="0" xfId="0" applyNumberFormat="1" applyFont="1"/>
    <xf numFmtId="167" fontId="22" fillId="0" borderId="0" xfId="0" applyNumberFormat="1" applyFont="1"/>
    <xf numFmtId="165" fontId="43" fillId="0" borderId="0" xfId="0" applyNumberFormat="1" applyFont="1"/>
    <xf numFmtId="0" fontId="38" fillId="0" borderId="0" xfId="4" applyFont="1"/>
    <xf numFmtId="167" fontId="44" fillId="0" borderId="0" xfId="4" applyNumberFormat="1" applyFont="1"/>
    <xf numFmtId="0" fontId="2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5" fontId="19" fillId="0" borderId="23" xfId="0" applyNumberFormat="1" applyFont="1" applyBorder="1"/>
    <xf numFmtId="0" fontId="7" fillId="9" borderId="19" xfId="0" applyFont="1" applyFill="1" applyBorder="1"/>
    <xf numFmtId="169" fontId="33" fillId="9" borderId="19" xfId="0" applyNumberFormat="1" applyFont="1" applyFill="1" applyBorder="1"/>
    <xf numFmtId="167" fontId="21" fillId="9" borderId="19" xfId="0" applyNumberFormat="1" applyFont="1" applyFill="1" applyBorder="1"/>
    <xf numFmtId="0" fontId="7" fillId="9" borderId="18" xfId="0" applyFont="1" applyFill="1" applyBorder="1"/>
    <xf numFmtId="0" fontId="19" fillId="0" borderId="0" xfId="0" applyFont="1" applyAlignment="1">
      <alignment horizontal="right"/>
    </xf>
    <xf numFmtId="0" fontId="21" fillId="0" borderId="0" xfId="3" quotePrefix="1" applyFont="1"/>
    <xf numFmtId="165" fontId="19" fillId="3" borderId="0" xfId="0" applyNumberFormat="1" applyFont="1" applyFill="1"/>
    <xf numFmtId="169" fontId="7" fillId="7" borderId="0" xfId="4" applyNumberFormat="1" applyFont="1" applyFill="1"/>
    <xf numFmtId="10" fontId="19" fillId="0" borderId="0" xfId="5" applyNumberFormat="1" applyFont="1"/>
    <xf numFmtId="167" fontId="20" fillId="0" borderId="0" xfId="0" applyNumberFormat="1" applyFont="1" applyAlignment="1">
      <alignment horizontal="center"/>
    </xf>
    <xf numFmtId="165" fontId="19" fillId="0" borderId="4" xfId="0" applyNumberFormat="1" applyFont="1" applyBorder="1"/>
    <xf numFmtId="10" fontId="21" fillId="0" borderId="0" xfId="5" quotePrefix="1" applyNumberFormat="1" applyFont="1"/>
    <xf numFmtId="10" fontId="45" fillId="0" borderId="0" xfId="5" applyNumberFormat="1" applyFont="1"/>
    <xf numFmtId="169" fontId="19" fillId="7" borderId="0" xfId="4" applyNumberFormat="1" applyFont="1" applyFill="1"/>
    <xf numFmtId="0" fontId="7" fillId="9" borderId="20" xfId="0" applyFont="1" applyFill="1" applyBorder="1"/>
    <xf numFmtId="49" fontId="7" fillId="0" borderId="0" xfId="4" applyNumberFormat="1" applyFont="1" applyAlignment="1">
      <alignment horizontal="center"/>
    </xf>
    <xf numFmtId="165" fontId="21" fillId="3" borderId="0" xfId="0" applyNumberFormat="1" applyFont="1" applyFill="1"/>
    <xf numFmtId="0" fontId="5" fillId="0" borderId="0" xfId="4" applyFont="1"/>
    <xf numFmtId="41" fontId="4" fillId="0" borderId="0" xfId="4" quotePrefix="1" applyNumberFormat="1" applyFont="1" applyAlignment="1">
      <alignment horizontal="centerContinuous"/>
    </xf>
    <xf numFmtId="0" fontId="46" fillId="0" borderId="0" xfId="4" applyFont="1"/>
    <xf numFmtId="169" fontId="18" fillId="0" borderId="0" xfId="6" applyNumberFormat="1" applyFont="1"/>
    <xf numFmtId="0" fontId="47" fillId="0" borderId="0" xfId="4" applyFont="1" applyAlignment="1">
      <alignment horizontal="right"/>
    </xf>
    <xf numFmtId="16" fontId="37" fillId="0" borderId="0" xfId="4" quotePrefix="1" applyNumberFormat="1" applyFont="1" applyAlignment="1">
      <alignment horizontal="left"/>
    </xf>
    <xf numFmtId="16" fontId="1" fillId="0" borderId="0" xfId="4" quotePrefix="1" applyNumberFormat="1" applyFont="1" applyAlignment="1">
      <alignment horizontal="left"/>
    </xf>
    <xf numFmtId="16" fontId="18" fillId="0" borderId="0" xfId="4" applyNumberFormat="1"/>
    <xf numFmtId="0" fontId="18" fillId="0" borderId="7" xfId="4" applyBorder="1"/>
    <xf numFmtId="0" fontId="2" fillId="0" borderId="0" xfId="4" quotePrefix="1" applyFont="1"/>
    <xf numFmtId="1" fontId="39" fillId="0" borderId="0" xfId="4" applyNumberFormat="1" applyFont="1"/>
    <xf numFmtId="165" fontId="33" fillId="0" borderId="0" xfId="0" applyNumberFormat="1" applyFont="1"/>
    <xf numFmtId="173" fontId="1" fillId="11" borderId="0" xfId="4" applyNumberFormat="1" applyFont="1" applyFill="1"/>
    <xf numFmtId="0" fontId="7" fillId="3" borderId="0" xfId="0" applyFont="1" applyFill="1"/>
    <xf numFmtId="172" fontId="19" fillId="0" borderId="0" xfId="4" quotePrefix="1" applyNumberFormat="1" applyFont="1" applyAlignment="1">
      <alignment horizontal="left"/>
    </xf>
    <xf numFmtId="41" fontId="32" fillId="0" borderId="1" xfId="4" applyNumberFormat="1" applyFont="1" applyBorder="1"/>
    <xf numFmtId="41" fontId="32" fillId="0" borderId="0" xfId="4" applyNumberFormat="1" applyFont="1"/>
    <xf numFmtId="41" fontId="49" fillId="0" borderId="0" xfId="4" applyNumberFormat="1" applyFont="1"/>
    <xf numFmtId="0" fontId="32" fillId="0" borderId="0" xfId="0" applyFont="1"/>
    <xf numFmtId="10" fontId="32" fillId="0" borderId="0" xfId="5" applyNumberFormat="1" applyFont="1"/>
    <xf numFmtId="167" fontId="32" fillId="0" borderId="0" xfId="4" applyNumberFormat="1" applyFont="1"/>
    <xf numFmtId="167" fontId="48" fillId="0" borderId="0" xfId="4" applyNumberFormat="1" applyFont="1"/>
    <xf numFmtId="170" fontId="21" fillId="0" borderId="0" xfId="0" quotePrefix="1" applyNumberFormat="1" applyFont="1" applyAlignment="1">
      <alignment horizontal="left"/>
    </xf>
    <xf numFmtId="165" fontId="21" fillId="0" borderId="2" xfId="0" applyNumberFormat="1" applyFont="1" applyBorder="1"/>
    <xf numFmtId="165" fontId="19" fillId="0" borderId="12" xfId="0" applyNumberFormat="1" applyFont="1" applyBorder="1"/>
    <xf numFmtId="165" fontId="19" fillId="6" borderId="13" xfId="0" applyNumberFormat="1" applyFont="1" applyFill="1" applyBorder="1"/>
    <xf numFmtId="165" fontId="35" fillId="0" borderId="0" xfId="0" applyNumberFormat="1" applyFont="1"/>
    <xf numFmtId="165" fontId="16" fillId="0" borderId="2" xfId="0" applyNumberFormat="1" applyFont="1" applyBorder="1"/>
    <xf numFmtId="165" fontId="19" fillId="0" borderId="18" xfId="0" applyNumberFormat="1" applyFont="1" applyBorder="1"/>
    <xf numFmtId="165" fontId="20" fillId="6" borderId="18" xfId="0" applyNumberFormat="1" applyFont="1" applyFill="1" applyBorder="1"/>
    <xf numFmtId="41" fontId="20" fillId="0" borderId="5" xfId="4" applyNumberFormat="1" applyFont="1" applyBorder="1"/>
    <xf numFmtId="41" fontId="21" fillId="7" borderId="0" xfId="4" applyNumberFormat="1" applyFont="1" applyFill="1"/>
    <xf numFmtId="41" fontId="21" fillId="7" borderId="0" xfId="4" applyNumberFormat="1" applyFont="1" applyFill="1" applyAlignment="1">
      <alignment horizontal="left"/>
    </xf>
    <xf numFmtId="41" fontId="19" fillId="2" borderId="4" xfId="4" quotePrefix="1" applyNumberFormat="1" applyFont="1" applyFill="1" applyBorder="1" applyAlignment="1">
      <alignment horizontal="center"/>
    </xf>
    <xf numFmtId="41" fontId="19" fillId="6" borderId="4" xfId="4" applyNumberFormat="1" applyFont="1" applyFill="1" applyBorder="1" applyAlignment="1">
      <alignment horizontal="center"/>
    </xf>
    <xf numFmtId="169" fontId="36" fillId="0" borderId="4" xfId="0" applyNumberFormat="1" applyFont="1" applyBorder="1"/>
    <xf numFmtId="167" fontId="19" fillId="0" borderId="4" xfId="0" applyNumberFormat="1" applyFont="1" applyBorder="1"/>
    <xf numFmtId="41" fontId="19" fillId="6" borderId="10" xfId="4" applyNumberFormat="1" applyFont="1" applyFill="1" applyBorder="1"/>
    <xf numFmtId="165" fontId="20" fillId="6" borderId="17" xfId="0" applyNumberFormat="1" applyFont="1" applyFill="1" applyBorder="1"/>
    <xf numFmtId="41" fontId="36" fillId="0" borderId="13" xfId="4" applyNumberFormat="1" applyFont="1" applyBorder="1"/>
    <xf numFmtId="43" fontId="24" fillId="0" borderId="0" xfId="6" applyFont="1"/>
    <xf numFmtId="165" fontId="21" fillId="0" borderId="7" xfId="0" applyNumberFormat="1" applyFont="1" applyBorder="1"/>
    <xf numFmtId="164" fontId="16" fillId="0" borderId="8" xfId="0" applyNumberFormat="1" applyFont="1" applyBorder="1"/>
    <xf numFmtId="49" fontId="7" fillId="0" borderId="8" xfId="4" applyNumberFormat="1" applyFont="1" applyBorder="1" applyAlignment="1">
      <alignment horizontal="center"/>
    </xf>
    <xf numFmtId="41" fontId="7" fillId="0" borderId="24" xfId="4" applyNumberFormat="1" applyFont="1" applyBorder="1"/>
    <xf numFmtId="41" fontId="7" fillId="0" borderId="3" xfId="4" applyNumberFormat="1" applyFont="1" applyBorder="1"/>
    <xf numFmtId="41" fontId="6" fillId="0" borderId="16" xfId="4" applyNumberFormat="1" applyFont="1" applyBorder="1"/>
    <xf numFmtId="41" fontId="6" fillId="6" borderId="10" xfId="4" applyNumberFormat="1" applyFont="1" applyFill="1" applyBorder="1" applyAlignment="1">
      <alignment horizontal="center"/>
    </xf>
    <xf numFmtId="41" fontId="7" fillId="6" borderId="4" xfId="4" quotePrefix="1" applyNumberFormat="1" applyFont="1" applyFill="1" applyBorder="1" applyAlignment="1">
      <alignment horizontal="center"/>
    </xf>
    <xf numFmtId="164" fontId="19" fillId="6" borderId="4" xfId="0" applyNumberFormat="1" applyFont="1" applyFill="1" applyBorder="1"/>
    <xf numFmtId="164" fontId="16" fillId="6" borderId="4" xfId="0" applyNumberFormat="1" applyFont="1" applyFill="1" applyBorder="1"/>
    <xf numFmtId="49" fontId="7" fillId="6" borderId="4" xfId="4" applyNumberFormat="1" applyFont="1" applyFill="1" applyBorder="1" applyAlignment="1">
      <alignment horizontal="center"/>
    </xf>
    <xf numFmtId="43" fontId="7" fillId="7" borderId="8" xfId="4" applyNumberFormat="1" applyFont="1" applyFill="1" applyBorder="1"/>
    <xf numFmtId="169" fontId="11" fillId="0" borderId="25" xfId="6" applyNumberFormat="1" applyFont="1" applyBorder="1" applyAlignment="1"/>
    <xf numFmtId="0" fontId="19" fillId="0" borderId="8" xfId="0" applyFont="1" applyBorder="1"/>
    <xf numFmtId="0" fontId="19" fillId="0" borderId="4" xfId="0" applyFont="1" applyBorder="1"/>
    <xf numFmtId="165" fontId="19" fillId="0" borderId="0" xfId="0" quotePrefix="1" applyNumberFormat="1" applyFont="1" applyAlignment="1">
      <alignment horizontal="right"/>
    </xf>
    <xf numFmtId="165" fontId="19" fillId="0" borderId="8" xfId="0" quotePrefix="1" applyNumberFormat="1" applyFont="1" applyBorder="1" applyAlignment="1">
      <alignment horizontal="right"/>
    </xf>
    <xf numFmtId="165" fontId="19" fillId="6" borderId="4" xfId="0" quotePrefix="1" applyNumberFormat="1" applyFont="1" applyFill="1" applyBorder="1" applyAlignment="1">
      <alignment horizontal="right"/>
    </xf>
    <xf numFmtId="165" fontId="36" fillId="0" borderId="0" xfId="0" applyNumberFormat="1" applyFont="1"/>
    <xf numFmtId="0" fontId="9" fillId="0" borderId="0" xfId="0" applyFont="1"/>
    <xf numFmtId="0" fontId="36" fillId="0" borderId="0" xfId="0" applyFont="1"/>
    <xf numFmtId="43" fontId="19" fillId="0" borderId="8" xfId="0" applyNumberFormat="1" applyFont="1" applyBorder="1"/>
    <xf numFmtId="165" fontId="21" fillId="0" borderId="10" xfId="0" applyNumberFormat="1" applyFont="1" applyBorder="1"/>
    <xf numFmtId="165" fontId="21" fillId="10" borderId="0" xfId="0" applyNumberFormat="1" applyFont="1" applyFill="1"/>
    <xf numFmtId="171" fontId="21" fillId="3" borderId="0" xfId="0" applyNumberFormat="1" applyFont="1" applyFill="1"/>
    <xf numFmtId="9" fontId="21" fillId="0" borderId="0" xfId="5" applyFont="1"/>
    <xf numFmtId="165" fontId="20" fillId="0" borderId="4" xfId="0" applyNumberFormat="1" applyFont="1" applyBorder="1"/>
    <xf numFmtId="169" fontId="43" fillId="0" borderId="0" xfId="0" applyNumberFormat="1" applyFont="1"/>
    <xf numFmtId="165" fontId="20" fillId="0" borderId="26" xfId="0" applyNumberFormat="1" applyFont="1" applyBorder="1"/>
    <xf numFmtId="165" fontId="50" fillId="0" borderId="26" xfId="0" applyNumberFormat="1" applyFont="1" applyBorder="1"/>
    <xf numFmtId="165" fontId="20" fillId="0" borderId="27" xfId="0" applyNumberFormat="1" applyFont="1" applyBorder="1"/>
    <xf numFmtId="165" fontId="19" fillId="6" borderId="17" xfId="0" applyNumberFormat="1" applyFont="1" applyFill="1" applyBorder="1"/>
    <xf numFmtId="0" fontId="19" fillId="6" borderId="4" xfId="0" applyFont="1" applyFill="1" applyBorder="1"/>
    <xf numFmtId="165" fontId="20" fillId="0" borderId="17" xfId="0" applyNumberFormat="1" applyFont="1" applyBorder="1"/>
    <xf numFmtId="0" fontId="21" fillId="0" borderId="0" xfId="0" applyFont="1" applyAlignment="1">
      <alignment horizontal="right"/>
    </xf>
    <xf numFmtId="49" fontId="21" fillId="0" borderId="6" xfId="0" applyNumberFormat="1" applyFont="1" applyBorder="1" applyAlignment="1">
      <alignment horizontal="center"/>
    </xf>
    <xf numFmtId="165" fontId="21" fillId="8" borderId="2" xfId="0" applyNumberFormat="1" applyFont="1" applyFill="1" applyBorder="1"/>
    <xf numFmtId="165" fontId="21" fillId="8" borderId="0" xfId="0" quotePrefix="1" applyNumberFormat="1" applyFont="1" applyFill="1" applyAlignment="1">
      <alignment horizontal="right"/>
    </xf>
    <xf numFmtId="0" fontId="19" fillId="0" borderId="0" xfId="0" quotePrefix="1" applyFont="1"/>
    <xf numFmtId="41" fontId="32" fillId="0" borderId="0" xfId="4" applyNumberFormat="1" applyFont="1" applyAlignment="1">
      <alignment horizontal="center"/>
    </xf>
    <xf numFmtId="49" fontId="32" fillId="0" borderId="6" xfId="0" applyNumberFormat="1" applyFont="1" applyBorder="1" applyAlignment="1">
      <alignment horizontal="center"/>
    </xf>
    <xf numFmtId="164" fontId="32" fillId="0" borderId="0" xfId="0" applyNumberFormat="1" applyFont="1"/>
    <xf numFmtId="165" fontId="32" fillId="0" borderId="0" xfId="0" quotePrefix="1" applyNumberFormat="1" applyFont="1" applyAlignment="1">
      <alignment horizontal="right"/>
    </xf>
    <xf numFmtId="165" fontId="32" fillId="0" borderId="7" xfId="0" applyNumberFormat="1" applyFont="1" applyBorder="1"/>
    <xf numFmtId="165" fontId="48" fillId="0" borderId="0" xfId="0" applyNumberFormat="1" applyFont="1"/>
    <xf numFmtId="165" fontId="32" fillId="0" borderId="2" xfId="0" applyNumberFormat="1" applyFont="1" applyBorder="1"/>
    <xf numFmtId="165" fontId="48" fillId="0" borderId="19" xfId="0" applyNumberFormat="1" applyFont="1" applyBorder="1"/>
    <xf numFmtId="165" fontId="48" fillId="0" borderId="7" xfId="0" applyNumberFormat="1" applyFont="1" applyBorder="1"/>
    <xf numFmtId="165" fontId="48" fillId="0" borderId="26" xfId="0" applyNumberFormat="1" applyFont="1" applyBorder="1"/>
    <xf numFmtId="169" fontId="32" fillId="7" borderId="0" xfId="4" applyNumberFormat="1" applyFont="1" applyFill="1"/>
    <xf numFmtId="41" fontId="32" fillId="7" borderId="0" xfId="4" applyNumberFormat="1" applyFont="1" applyFill="1"/>
    <xf numFmtId="41" fontId="48" fillId="0" borderId="5" xfId="4" applyNumberFormat="1" applyFont="1" applyBorder="1"/>
    <xf numFmtId="165" fontId="51" fillId="0" borderId="0" xfId="0" applyNumberFormat="1" applyFont="1"/>
    <xf numFmtId="41" fontId="24" fillId="0" borderId="2" xfId="4" applyNumberFormat="1" applyFont="1" applyBorder="1"/>
    <xf numFmtId="41" fontId="32" fillId="0" borderId="0" xfId="0" applyNumberFormat="1" applyFont="1"/>
    <xf numFmtId="0" fontId="1" fillId="0" borderId="0" xfId="4" applyFont="1"/>
    <xf numFmtId="168" fontId="52" fillId="0" borderId="0" xfId="2" applyNumberFormat="1" applyFont="1" applyFill="1" applyAlignment="1"/>
    <xf numFmtId="0" fontId="53" fillId="0" borderId="0" xfId="4" applyFont="1"/>
    <xf numFmtId="0" fontId="2" fillId="0" borderId="0" xfId="4" applyFont="1" applyAlignment="1">
      <alignment horizontal="left"/>
    </xf>
    <xf numFmtId="14" fontId="18" fillId="0" borderId="0" xfId="4" applyNumberFormat="1"/>
    <xf numFmtId="0" fontId="54" fillId="0" borderId="0" xfId="4" applyFont="1"/>
    <xf numFmtId="0" fontId="4" fillId="0" borderId="0" xfId="4" applyFont="1" applyAlignment="1">
      <alignment horizontal="left"/>
    </xf>
    <xf numFmtId="9" fontId="2" fillId="0" borderId="0" xfId="4" applyNumberFormat="1" applyFont="1"/>
    <xf numFmtId="167" fontId="4" fillId="0" borderId="28" xfId="4" applyNumberFormat="1" applyFont="1" applyBorder="1"/>
    <xf numFmtId="167" fontId="1" fillId="0" borderId="0" xfId="4" applyNumberFormat="1" applyFont="1"/>
    <xf numFmtId="0" fontId="2" fillId="0" borderId="0" xfId="4" quotePrefix="1" applyFont="1" applyAlignment="1">
      <alignment horizontal="left"/>
    </xf>
    <xf numFmtId="0" fontId="4" fillId="0" borderId="28" xfId="4" applyFont="1" applyBorder="1"/>
    <xf numFmtId="0" fontId="55" fillId="0" borderId="0" xfId="4" applyFont="1" applyAlignment="1">
      <alignment horizontal="center"/>
    </xf>
    <xf numFmtId="0" fontId="55" fillId="0" borderId="0" xfId="4" applyFont="1" applyAlignment="1">
      <alignment horizontal="right"/>
    </xf>
    <xf numFmtId="0" fontId="5" fillId="0" borderId="0" xfId="4" applyFont="1" applyAlignment="1">
      <alignment horizontal="right"/>
    </xf>
    <xf numFmtId="0" fontId="18" fillId="0" borderId="0" xfId="4" applyAlignment="1">
      <alignment horizontal="right"/>
    </xf>
    <xf numFmtId="169" fontId="4" fillId="0" borderId="0" xfId="6" applyNumberFormat="1" applyFont="1"/>
    <xf numFmtId="175" fontId="5" fillId="12" borderId="0" xfId="4" applyNumberFormat="1" applyFont="1" applyFill="1"/>
    <xf numFmtId="168" fontId="5" fillId="5" borderId="0" xfId="4" applyNumberFormat="1" applyFont="1" applyFill="1"/>
    <xf numFmtId="0" fontId="2" fillId="0" borderId="0" xfId="4" applyFont="1"/>
    <xf numFmtId="0" fontId="5" fillId="0" borderId="0" xfId="4" applyFont="1" applyAlignment="1">
      <alignment horizontal="center"/>
    </xf>
    <xf numFmtId="0" fontId="27" fillId="0" borderId="0" xfId="4" applyFont="1"/>
    <xf numFmtId="175" fontId="2" fillId="12" borderId="0" xfId="4" applyNumberFormat="1" applyFont="1" applyFill="1"/>
    <xf numFmtId="43" fontId="2" fillId="0" borderId="0" xfId="4" applyNumberFormat="1" applyFont="1"/>
    <xf numFmtId="176" fontId="2" fillId="0" borderId="0" xfId="4" applyNumberFormat="1" applyFont="1" applyAlignment="1">
      <alignment horizontal="center"/>
    </xf>
    <xf numFmtId="175" fontId="2" fillId="13" borderId="0" xfId="4" applyNumberFormat="1" applyFont="1" applyFill="1"/>
    <xf numFmtId="14" fontId="2" fillId="0" borderId="0" xfId="4" applyNumberFormat="1" applyFont="1"/>
    <xf numFmtId="0" fontId="4" fillId="0" borderId="1" xfId="4" applyFont="1" applyBorder="1"/>
    <xf numFmtId="14" fontId="1" fillId="0" borderId="0" xfId="4" quotePrefix="1" applyNumberFormat="1" applyFont="1" applyAlignment="1">
      <alignment horizontal="center"/>
    </xf>
    <xf numFmtId="14" fontId="53" fillId="0" borderId="0" xfId="4" applyNumberFormat="1" applyFont="1" applyAlignment="1">
      <alignment horizontal="center"/>
    </xf>
    <xf numFmtId="175" fontId="2" fillId="6" borderId="0" xfId="4" applyNumberFormat="1" applyFont="1" applyFill="1"/>
    <xf numFmtId="175" fontId="2" fillId="11" borderId="0" xfId="4" applyNumberFormat="1" applyFont="1" applyFill="1"/>
    <xf numFmtId="175" fontId="2" fillId="10" borderId="0" xfId="4" applyNumberFormat="1" applyFont="1" applyFill="1"/>
    <xf numFmtId="175" fontId="2" fillId="3" borderId="0" xfId="4" applyNumberFormat="1" applyFont="1" applyFill="1"/>
    <xf numFmtId="175" fontId="2" fillId="14" borderId="0" xfId="4" applyNumberFormat="1" applyFont="1" applyFill="1"/>
    <xf numFmtId="175" fontId="2" fillId="15" borderId="0" xfId="4" applyNumberFormat="1" applyFont="1" applyFill="1"/>
    <xf numFmtId="175" fontId="2" fillId="16" borderId="0" xfId="4" applyNumberFormat="1" applyFont="1" applyFill="1"/>
    <xf numFmtId="175" fontId="2" fillId="17" borderId="0" xfId="4" applyNumberFormat="1" applyFont="1" applyFill="1"/>
    <xf numFmtId="175" fontId="2" fillId="18" borderId="0" xfId="4" applyNumberFormat="1" applyFont="1" applyFill="1"/>
    <xf numFmtId="0" fontId="18" fillId="0" borderId="0" xfId="4" applyAlignment="1">
      <alignment horizontal="center"/>
    </xf>
    <xf numFmtId="0" fontId="53" fillId="0" borderId="0" xfId="4" applyFont="1" applyAlignment="1">
      <alignment horizontal="right"/>
    </xf>
    <xf numFmtId="0" fontId="7" fillId="0" borderId="0" xfId="0" quotePrefix="1" applyFont="1"/>
    <xf numFmtId="0" fontId="25" fillId="0" borderId="0" xfId="0" quotePrefix="1" applyFont="1" applyAlignment="1">
      <alignment horizontal="center"/>
    </xf>
    <xf numFmtId="0" fontId="22" fillId="0" borderId="0" xfId="0" applyFont="1"/>
    <xf numFmtId="0" fontId="22" fillId="0" borderId="0" xfId="3" applyFont="1"/>
    <xf numFmtId="0" fontId="22" fillId="0" borderId="0" xfId="0" quotePrefix="1" applyFont="1"/>
    <xf numFmtId="0" fontId="56" fillId="0" borderId="0" xfId="0" quotePrefix="1" applyFont="1"/>
    <xf numFmtId="169" fontId="21" fillId="7" borderId="0" xfId="4" applyNumberFormat="1" applyFont="1" applyFill="1"/>
    <xf numFmtId="165" fontId="35" fillId="0" borderId="7" xfId="0" applyNumberFormat="1" applyFont="1" applyBorder="1"/>
    <xf numFmtId="10" fontId="21" fillId="0" borderId="0" xfId="5" applyNumberFormat="1" applyFont="1" applyFill="1"/>
    <xf numFmtId="168" fontId="21" fillId="0" borderId="0" xfId="2" applyNumberFormat="1" applyFont="1" applyFill="1"/>
    <xf numFmtId="0" fontId="21" fillId="0" borderId="0" xfId="0" applyFont="1" applyAlignment="1">
      <alignment horizontal="center"/>
    </xf>
    <xf numFmtId="167" fontId="2" fillId="0" borderId="0" xfId="4" applyNumberFormat="1" applyFont="1"/>
    <xf numFmtId="165" fontId="32" fillId="8" borderId="0" xfId="0" applyNumberFormat="1" applyFont="1" applyFill="1"/>
    <xf numFmtId="0" fontId="25" fillId="0" borderId="0" xfId="4" quotePrefix="1" applyFont="1" applyAlignment="1">
      <alignment horizontal="center"/>
    </xf>
    <xf numFmtId="167" fontId="2" fillId="0" borderId="0" xfId="4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77" fontId="33" fillId="0" borderId="0" xfId="6" applyNumberFormat="1" applyFont="1"/>
    <xf numFmtId="169" fontId="7" fillId="7" borderId="8" xfId="4" applyNumberFormat="1" applyFont="1" applyFill="1" applyBorder="1"/>
    <xf numFmtId="0" fontId="58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59" fillId="0" borderId="32" xfId="0" quotePrefix="1" applyFont="1" applyBorder="1"/>
    <xf numFmtId="0" fontId="7" fillId="0" borderId="33" xfId="0" applyFont="1" applyBorder="1"/>
    <xf numFmtId="0" fontId="59" fillId="0" borderId="34" xfId="0" quotePrefix="1" applyFont="1" applyBorder="1"/>
    <xf numFmtId="0" fontId="7" fillId="0" borderId="35" xfId="0" applyFont="1" applyBorder="1"/>
    <xf numFmtId="0" fontId="7" fillId="0" borderId="36" xfId="0" applyFont="1" applyBorder="1"/>
    <xf numFmtId="41" fontId="19" fillId="7" borderId="0" xfId="4" applyNumberFormat="1" applyFont="1" applyFill="1" applyAlignment="1">
      <alignment horizontal="left"/>
    </xf>
    <xf numFmtId="41" fontId="19" fillId="7" borderId="0" xfId="4" applyNumberFormat="1" applyFont="1" applyFill="1"/>
    <xf numFmtId="167" fontId="19" fillId="0" borderId="0" xfId="0" applyNumberFormat="1" applyFont="1"/>
    <xf numFmtId="0" fontId="60" fillId="0" borderId="0" xfId="8" applyAlignment="1">
      <alignment wrapText="1"/>
    </xf>
    <xf numFmtId="0" fontId="60" fillId="0" borderId="0" xfId="8"/>
    <xf numFmtId="168" fontId="3" fillId="0" borderId="0" xfId="4" applyNumberFormat="1" applyFont="1"/>
    <xf numFmtId="0" fontId="21" fillId="0" borderId="0" xfId="0" quotePrefix="1" applyFont="1" applyAlignment="1">
      <alignment horizontal="right"/>
    </xf>
    <xf numFmtId="165" fontId="22" fillId="8" borderId="0" xfId="0" applyNumberFormat="1" applyFont="1" applyFill="1"/>
    <xf numFmtId="165" fontId="19" fillId="8" borderId="0" xfId="0" applyNumberFormat="1" applyFont="1" applyFill="1"/>
    <xf numFmtId="49" fontId="19" fillId="0" borderId="0" xfId="3" applyNumberFormat="1" applyFont="1"/>
    <xf numFmtId="0" fontId="58" fillId="0" borderId="29" xfId="0" quotePrefix="1" applyFont="1" applyBorder="1"/>
    <xf numFmtId="167" fontId="3" fillId="5" borderId="0" xfId="4" applyNumberFormat="1" applyFont="1" applyFill="1"/>
    <xf numFmtId="0" fontId="2" fillId="5" borderId="0" xfId="4" applyFont="1" applyFill="1" applyAlignment="1">
      <alignment horizontal="right"/>
    </xf>
    <xf numFmtId="167" fontId="2" fillId="6" borderId="0" xfId="4" applyNumberFormat="1" applyFont="1" applyFill="1" applyAlignment="1">
      <alignment horizontal="right"/>
    </xf>
    <xf numFmtId="168" fontId="3" fillId="6" borderId="0" xfId="4" applyNumberFormat="1" applyFont="1" applyFill="1"/>
    <xf numFmtId="167" fontId="55" fillId="0" borderId="0" xfId="4" applyNumberFormat="1" applyFont="1"/>
    <xf numFmtId="167" fontId="1" fillId="0" borderId="0" xfId="2" applyNumberFormat="1" applyFont="1" applyAlignment="1"/>
    <xf numFmtId="41" fontId="19" fillId="7" borderId="0" xfId="4" applyNumberFormat="1" applyFont="1" applyFill="1" applyAlignment="1">
      <alignment horizontal="center"/>
    </xf>
    <xf numFmtId="9" fontId="7" fillId="0" borderId="0" xfId="0" applyNumberFormat="1" applyFont="1"/>
    <xf numFmtId="0" fontId="19" fillId="5" borderId="0" xfId="0" applyFont="1" applyFill="1" applyAlignment="1">
      <alignment horizontal="right"/>
    </xf>
    <xf numFmtId="168" fontId="21" fillId="5" borderId="0" xfId="2" applyNumberFormat="1" applyFont="1" applyFill="1"/>
    <xf numFmtId="167" fontId="18" fillId="0" borderId="0" xfId="4" applyNumberFormat="1" applyAlignment="1">
      <alignment horizontal="right"/>
    </xf>
    <xf numFmtId="39" fontId="19" fillId="0" borderId="0" xfId="0" applyNumberFormat="1" applyFont="1"/>
    <xf numFmtId="165" fontId="20" fillId="5" borderId="19" xfId="0" applyNumberFormat="1" applyFont="1" applyFill="1" applyBorder="1"/>
    <xf numFmtId="165" fontId="34" fillId="5" borderId="0" xfId="0" applyNumberFormat="1" applyFont="1" applyFill="1"/>
    <xf numFmtId="165" fontId="35" fillId="5" borderId="7" xfId="0" applyNumberFormat="1" applyFont="1" applyFill="1" applyBorder="1"/>
    <xf numFmtId="0" fontId="21" fillId="0" borderId="0" xfId="3" quotePrefix="1" applyFont="1" applyAlignment="1">
      <alignment horizontal="center"/>
    </xf>
    <xf numFmtId="167" fontId="7" fillId="0" borderId="37" xfId="0" applyNumberFormat="1" applyFont="1" applyBorder="1" applyAlignment="1">
      <alignment horizontal="centerContinuous"/>
    </xf>
    <xf numFmtId="165" fontId="16" fillId="0" borderId="37" xfId="0" applyNumberFormat="1" applyFont="1" applyBorder="1"/>
    <xf numFmtId="165" fontId="19" fillId="0" borderId="37" xfId="0" applyNumberFormat="1" applyFont="1" applyBorder="1"/>
    <xf numFmtId="165" fontId="21" fillId="0" borderId="37" xfId="0" applyNumberFormat="1" applyFont="1" applyBorder="1"/>
    <xf numFmtId="165" fontId="20" fillId="0" borderId="37" xfId="0" applyNumberFormat="1" applyFont="1" applyBorder="1"/>
    <xf numFmtId="0" fontId="31" fillId="0" borderId="0" xfId="0" quotePrefix="1" applyFont="1" applyAlignment="1">
      <alignment horizontal="right"/>
    </xf>
    <xf numFmtId="0" fontId="35" fillId="7" borderId="0" xfId="3" quotePrefix="1" applyFont="1" applyFill="1"/>
    <xf numFmtId="0" fontId="3" fillId="0" borderId="0" xfId="4" applyFont="1" applyAlignment="1">
      <alignment horizontal="centerContinuous"/>
    </xf>
    <xf numFmtId="43" fontId="7" fillId="0" borderId="0" xfId="6" applyFont="1"/>
    <xf numFmtId="167" fontId="63" fillId="0" borderId="0" xfId="0" applyNumberFormat="1" applyFont="1"/>
    <xf numFmtId="169" fontId="22" fillId="0" borderId="0" xfId="6" applyNumberFormat="1" applyFont="1"/>
    <xf numFmtId="43" fontId="24" fillId="0" borderId="0" xfId="6" applyFont="1" applyFill="1"/>
    <xf numFmtId="0" fontId="36" fillId="0" borderId="0" xfId="3" applyFont="1"/>
    <xf numFmtId="0" fontId="64" fillId="0" borderId="0" xfId="0" applyFont="1" applyAlignment="1">
      <alignment horizontal="right"/>
    </xf>
    <xf numFmtId="0" fontId="64" fillId="0" borderId="0" xfId="0" quotePrefix="1" applyFont="1" applyAlignment="1">
      <alignment horizontal="right"/>
    </xf>
    <xf numFmtId="170" fontId="35" fillId="0" borderId="0" xfId="0" applyNumberFormat="1" applyFont="1" applyAlignment="1">
      <alignment horizontal="left"/>
    </xf>
    <xf numFmtId="0" fontId="65" fillId="19" borderId="0" xfId="4" applyFont="1" applyFill="1" applyAlignment="1">
      <alignment horizontal="center"/>
    </xf>
    <xf numFmtId="173" fontId="37" fillId="0" borderId="0" xfId="4" applyNumberFormat="1" applyFont="1"/>
    <xf numFmtId="16" fontId="66" fillId="0" borderId="0" xfId="4" quotePrefix="1" applyNumberFormat="1" applyFont="1" applyAlignment="1">
      <alignment horizontal="center"/>
    </xf>
    <xf numFmtId="173" fontId="37" fillId="11" borderId="0" xfId="4" applyNumberFormat="1" applyFont="1" applyFill="1"/>
    <xf numFmtId="0" fontId="67" fillId="0" borderId="0" xfId="4" applyFont="1"/>
    <xf numFmtId="0" fontId="68" fillId="0" borderId="0" xfId="4" quotePrefix="1" applyFont="1" applyAlignment="1">
      <alignment horizontal="center"/>
    </xf>
    <xf numFmtId="0" fontId="32" fillId="0" borderId="0" xfId="3" quotePrefix="1" applyFont="1" applyAlignment="1">
      <alignment horizontal="center"/>
    </xf>
    <xf numFmtId="165" fontId="51" fillId="5" borderId="0" xfId="0" applyNumberFormat="1" applyFont="1" applyFill="1"/>
    <xf numFmtId="165" fontId="48" fillId="5" borderId="7" xfId="0" applyNumberFormat="1" applyFont="1" applyFill="1" applyBorder="1"/>
    <xf numFmtId="10" fontId="69" fillId="0" borderId="0" xfId="5" applyNumberFormat="1" applyFont="1"/>
    <xf numFmtId="10" fontId="32" fillId="0" borderId="0" xfId="5" quotePrefix="1" applyNumberFormat="1" applyFont="1"/>
  </cellXfs>
  <cellStyles count="10">
    <cellStyle name="Comma" xfId="6" builtinId="3"/>
    <cellStyle name="Comma [0] 2" xfId="1" xr:uid="{00000000-0005-0000-0000-000001000000}"/>
    <cellStyle name="Currency" xfId="2" builtinId="4"/>
    <cellStyle name="HeaderCellStyle" xfId="9" xr:uid="{9EE63434-1CC3-48E9-BC4E-E207995E761B}"/>
    <cellStyle name="Normal" xfId="0" builtinId="0"/>
    <cellStyle name="Normal 2" xfId="3" xr:uid="{00000000-0005-0000-0000-000004000000}"/>
    <cellStyle name="Normal 3" xfId="4" xr:uid="{00000000-0005-0000-0000-000005000000}"/>
    <cellStyle name="Normal 4" xfId="7" xr:uid="{00000000-0005-0000-0000-000006000000}"/>
    <cellStyle name="Normal 5" xfId="8" xr:uid="{94D361FD-F8DD-48D5-8684-28747EFFDDD7}"/>
    <cellStyle name="Percent" xfId="5" builtinId="5"/>
  </cellStyles>
  <dxfs count="0"/>
  <tableStyles count="0" defaultTableStyle="TableStyleMedium2" defaultPivotStyle="PivotStyleLight16"/>
  <colors>
    <mruColors>
      <color rgb="FFFFFFCC"/>
      <color rgb="FFFFC9FF"/>
      <color rgb="FF0000FF"/>
      <color rgb="FFDDFFDD"/>
      <color rgb="FFCCFFFF"/>
      <color rgb="FFFFCC99"/>
      <color rgb="FFD9FFD9"/>
      <color rgb="FF99CC00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D22FB31-6063-41B4-9266-1CBE9F46CD6C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409A85F-29D7-4696-A777-BFEBD80C8CBA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45120393-4FD6-4389-99C8-82C16300A3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B65D8DAF-660B-458F-AA5E-736CCB8188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773063</xdr:colOff>
      <xdr:row>16</xdr:row>
      <xdr:rowOff>114707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F25340-7946-09E6-4405-A23E2B404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6581775"/>
          <a:ext cx="11021963" cy="2915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161925</xdr:rowOff>
    </xdr:from>
    <xdr:to>
      <xdr:col>3</xdr:col>
      <xdr:colOff>743600</xdr:colOff>
      <xdr:row>55</xdr:row>
      <xdr:rowOff>115354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BB318E-8D8C-F9D0-FD8F-1F233D10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3562350"/>
          <a:ext cx="4658375" cy="7554379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18</xdr:row>
      <xdr:rowOff>79389</xdr:rowOff>
    </xdr:from>
    <xdr:to>
      <xdr:col>14</xdr:col>
      <xdr:colOff>411386</xdr:colOff>
      <xdr:row>45</xdr:row>
      <xdr:rowOff>153202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B69494-C144-132F-ABC2-313DE4D97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3679839"/>
          <a:ext cx="12365261" cy="54744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B38BC79-4BAB-4E11-BD30-2613845C5122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3403D64-16C5-49B5-8B9A-78E15959AD0F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E0EA630E-65F3-4296-BE2A-A412FC7E009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EDD78E8D-ABDA-4673-8650-98A91F78DB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6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D77FEEE-E8E7-48C0-9F23-645991C1AB58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7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F0DFE74-11F2-441E-B07C-A0731DA90D5F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8" name="FILTER" hidden="1">
          <a:extLst>
            <a:ext uri="{FF2B5EF4-FFF2-40B4-BE49-F238E27FC236}">
              <a16:creationId xmlns:a16="http://schemas.microsoft.com/office/drawing/2014/main" id="{9477434C-DAFB-45EB-8BA6-F7332E402B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9" name="HEADER" hidden="1">
          <a:extLst>
            <a:ext uri="{FF2B5EF4-FFF2-40B4-BE49-F238E27FC236}">
              <a16:creationId xmlns:a16="http://schemas.microsoft.com/office/drawing/2014/main" id="{AAA720EC-4B3C-44F0-9A37-379F7ACE3E0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14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144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111124</xdr:colOff>
      <xdr:row>3</xdr:row>
      <xdr:rowOff>23812</xdr:rowOff>
    </xdr:from>
    <xdr:to>
      <xdr:col>25</xdr:col>
      <xdr:colOff>453183</xdr:colOff>
      <xdr:row>6</xdr:row>
      <xdr:rowOff>37897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7687" y="500062"/>
          <a:ext cx="4185396" cy="49986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E97FCA0-B597-452D-838F-16F45F997148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3EEA588-83D5-44AE-9634-166566339E2F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FE2204C0-A2C7-4B57-AF0F-375436CD99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F7FB11B7-D4B3-45D8-B6BF-85DA54D6EF9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580157</xdr:colOff>
      <xdr:row>148</xdr:row>
      <xdr:rowOff>25980</xdr:rowOff>
    </xdr:from>
    <xdr:to>
      <xdr:col>13</xdr:col>
      <xdr:colOff>121226</xdr:colOff>
      <xdr:row>153</xdr:row>
      <xdr:rowOff>155865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6626C8-907B-4546-AB29-9C770D64820D}"/>
            </a:ext>
          </a:extLst>
        </xdr:cNvPr>
        <xdr:cNvSpPr txBox="1"/>
      </xdr:nvSpPr>
      <xdr:spPr>
        <a:xfrm>
          <a:off x="3485282" y="27991380"/>
          <a:ext cx="3084369" cy="9395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2023 Budget Notes:</a:t>
          </a:r>
        </a:p>
        <a:p>
          <a:r>
            <a:rPr lang="en-US" sz="1100"/>
            <a:t>- 4.5% monthly dues increase</a:t>
          </a:r>
        </a:p>
        <a:p>
          <a:r>
            <a:rPr lang="en-US" sz="1100"/>
            <a:t>- The loan is paid off in May 2023</a:t>
          </a:r>
        </a:p>
        <a:p>
          <a:r>
            <a:rPr lang="en-US" sz="1100"/>
            <a:t>- We finish 2023 with total cash balance of $16.1K </a:t>
          </a: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7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FD37090-B057-4C8A-B9CD-2F506ED2DF61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8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7F44C0B-3C5D-480E-92BD-F2C68F70A0C9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9" name="FILTER" hidden="1">
          <a:extLst>
            <a:ext uri="{FF2B5EF4-FFF2-40B4-BE49-F238E27FC236}">
              <a16:creationId xmlns:a16="http://schemas.microsoft.com/office/drawing/2014/main" id="{1E94EA95-8838-48EA-B84A-986634C3E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10" name="HEADER" hidden="1">
          <a:extLst>
            <a:ext uri="{FF2B5EF4-FFF2-40B4-BE49-F238E27FC236}">
              <a16:creationId xmlns:a16="http://schemas.microsoft.com/office/drawing/2014/main" id="{CBE43063-616F-4DE2-8A83-B3D72C5B77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580157</xdr:colOff>
      <xdr:row>150</xdr:row>
      <xdr:rowOff>25979</xdr:rowOff>
    </xdr:from>
    <xdr:to>
      <xdr:col>18</xdr:col>
      <xdr:colOff>346362</xdr:colOff>
      <xdr:row>157</xdr:row>
      <xdr:rowOff>43295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485282" y="28458104"/>
          <a:ext cx="6262255" cy="11507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2022 Budget Notes:</a:t>
          </a:r>
        </a:p>
        <a:p>
          <a:r>
            <a:rPr lang="en-US" sz="1100"/>
            <a:t>- 4.5% monthly dues increase</a:t>
          </a:r>
        </a:p>
        <a:p>
          <a:r>
            <a:rPr lang="en-US" sz="1100"/>
            <a:t>- The loan is paid off in Dec 2022</a:t>
          </a:r>
        </a:p>
        <a:p>
          <a:r>
            <a:rPr lang="en-US" sz="1100"/>
            <a:t>- We finish 2022 with total cash balance of $14.6K </a:t>
          </a: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7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8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9" name="FILTER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10" name="HEADER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7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8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971550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9" name="FILTER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10" name="HEADER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0F332D4-8BED-4FFC-B568-08B5953C5582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A86B835-B29F-466C-8718-804F793596C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3602147B-1CF2-4A00-90C8-D8E26909AB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917FC5B3-B6B2-4A1A-93D1-6BA87B035F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6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EEC9490-79A7-4567-A87D-2E2EFFA63C80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sp macro="" textlink="">
      <xdr:nvSpPr>
        <xdr:cNvPr id="7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BCF229-E606-41C3-96F5-4718EEE3BB47}"/>
            </a:ext>
          </a:extLst>
        </xdr:cNvPr>
        <xdr:cNvSpPr/>
      </xdr:nvSpPr>
      <xdr:spPr>
        <a:xfrm>
          <a:off x="0" y="981075"/>
          <a:ext cx="914400" cy="228601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8" name="FILTER" hidden="1">
          <a:extLst>
            <a:ext uri="{FF2B5EF4-FFF2-40B4-BE49-F238E27FC236}">
              <a16:creationId xmlns:a16="http://schemas.microsoft.com/office/drawing/2014/main" id="{81648902-BD15-4A80-8C86-D91435B61F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4</xdr:col>
      <xdr:colOff>114300</xdr:colOff>
      <xdr:row>7</xdr:row>
      <xdr:rowOff>57151</xdr:rowOff>
    </xdr:to>
    <xdr:pic>
      <xdr:nvPicPr>
        <xdr:cNvPr id="9" name="HEADER" hidden="1">
          <a:extLst>
            <a:ext uri="{FF2B5EF4-FFF2-40B4-BE49-F238E27FC236}">
              <a16:creationId xmlns:a16="http://schemas.microsoft.com/office/drawing/2014/main" id="{0742F93F-C2CC-487E-B4B0-51F8C11C87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14400" cy="228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117</xdr:row>
      <xdr:rowOff>114300</xdr:rowOff>
    </xdr:from>
    <xdr:to>
      <xdr:col>27</xdr:col>
      <xdr:colOff>353493</xdr:colOff>
      <xdr:row>162</xdr:row>
      <xdr:rowOff>58339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CBE1F3-AC85-473E-4B21-99D563F9F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0" y="22402800"/>
          <a:ext cx="7649643" cy="851653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15</xdr:col>
      <xdr:colOff>76200</xdr:colOff>
      <xdr:row>162</xdr:row>
      <xdr:rowOff>123825</xdr:rowOff>
    </xdr:from>
    <xdr:to>
      <xdr:col>27</xdr:col>
      <xdr:colOff>363011</xdr:colOff>
      <xdr:row>191</xdr:row>
      <xdr:rowOff>48385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934FBA2-C88E-3A46-233D-0E16C6CA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30984825"/>
          <a:ext cx="7602011" cy="544906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13</xdr:col>
      <xdr:colOff>496390</xdr:colOff>
      <xdr:row>124</xdr:row>
      <xdr:rowOff>96407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097DFA-DA8D-552B-4255-15A26968C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5430500"/>
          <a:ext cx="7811590" cy="828790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124</xdr:row>
      <xdr:rowOff>161925</xdr:rowOff>
    </xdr:from>
    <xdr:to>
      <xdr:col>13</xdr:col>
      <xdr:colOff>477337</xdr:colOff>
      <xdr:row>156</xdr:row>
      <xdr:rowOff>124671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6C8A14A-DD43-7090-1F35-65ACAC872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23783925"/>
          <a:ext cx="7792537" cy="605874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46</xdr:row>
      <xdr:rowOff>28575</xdr:rowOff>
    </xdr:from>
    <xdr:to>
      <xdr:col>23</xdr:col>
      <xdr:colOff>524887</xdr:colOff>
      <xdr:row>81</xdr:row>
      <xdr:rowOff>29506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B1FA5F-365E-411C-AF0A-37F73202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0" y="8791575"/>
          <a:ext cx="7249537" cy="6668431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5</xdr:row>
      <xdr:rowOff>171450</xdr:rowOff>
    </xdr:from>
    <xdr:to>
      <xdr:col>23</xdr:col>
      <xdr:colOff>562987</xdr:colOff>
      <xdr:row>45</xdr:row>
      <xdr:rowOff>96303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78F33D-BF0B-4E39-8EB5-ED757BB2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1123950"/>
          <a:ext cx="7249537" cy="7544853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126</xdr:row>
      <xdr:rowOff>142875</xdr:rowOff>
    </xdr:from>
    <xdr:to>
      <xdr:col>18</xdr:col>
      <xdr:colOff>58271</xdr:colOff>
      <xdr:row>159</xdr:row>
      <xdr:rowOff>86594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41A44AB-2384-48B5-9697-4C97FBF5B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0375" y="24145875"/>
          <a:ext cx="8030696" cy="62302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17</xdr:col>
      <xdr:colOff>572601</xdr:colOff>
      <xdr:row>126</xdr:row>
      <xdr:rowOff>115459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02BF55-0437-4A88-A5EA-9E3D4B537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0" y="15811500"/>
          <a:ext cx="7887801" cy="830695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15</xdr:col>
      <xdr:colOff>505831</xdr:colOff>
      <xdr:row>45</xdr:row>
      <xdr:rowOff>58195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041A9-28BB-4484-B519-E0A0B959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1143000"/>
          <a:ext cx="7211431" cy="748769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46</xdr:row>
      <xdr:rowOff>47625</xdr:rowOff>
    </xdr:from>
    <xdr:to>
      <xdr:col>15</xdr:col>
      <xdr:colOff>477260</xdr:colOff>
      <xdr:row>80</xdr:row>
      <xdr:rowOff>153319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B20A3-16F7-40EE-8F83-143AD196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250" y="8810625"/>
          <a:ext cx="7240010" cy="658269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562479</xdr:colOff>
      <xdr:row>5</xdr:row>
      <xdr:rowOff>47738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9C82ECC-CEBF-4AB5-949D-8EBF3F7C5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0" y="190500"/>
          <a:ext cx="3610479" cy="80973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%20-%20Southern%20Methodist%20University\HPHA\HPHA%20-%202023%20Budget%20and%202022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lmxb\Documents\MCB\Matt\HPHA\Budgets%20&amp;%20Financials\2022\HPHA%202022%20Budget%20%202021%20Foreca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mu365-my.sharepoint.com/personal/mcbach_smu_edu/Documents/HPHA/Budgets/HPHA%20-%202025%20Budget%20and%202024%20Forecast.xlsx" TargetMode="External"/><Relationship Id="rId1" Type="http://schemas.openxmlformats.org/officeDocument/2006/relationships/externalLinkPath" Target="https://smu365-my.sharepoint.com/personal/mcbach_smu_edu/Documents/HPHA/Budgets/HPHA%20-%202025%20Budget%20and%202024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Budget"/>
      <sheetName val="2022 Forecast"/>
      <sheetName val="2022 Budget"/>
      <sheetName val="Jan - Sep 2022 Actuals"/>
      <sheetName val="Pool Attendents"/>
      <sheetName val="Security Patrol"/>
      <sheetName val="2021 Oct YTD"/>
    </sheetNames>
    <sheetDataSet>
      <sheetData sheetId="0"/>
      <sheetData sheetId="1">
        <row r="8">
          <cell r="B8" t="str">
            <v>Ordinary Income/Expense</v>
          </cell>
        </row>
        <row r="9">
          <cell r="C9" t="str">
            <v>Income</v>
          </cell>
        </row>
        <row r="10">
          <cell r="D10" t="str">
            <v>Dues</v>
          </cell>
        </row>
        <row r="11">
          <cell r="E11" t="str">
            <v>Dues Adjustments</v>
          </cell>
          <cell r="O11">
            <v>0</v>
          </cell>
        </row>
        <row r="12">
          <cell r="E12" t="str">
            <v>HOA Dues</v>
          </cell>
          <cell r="H12">
            <v>90.914999999999992</v>
          </cell>
          <cell r="O12">
            <v>130917.6</v>
          </cell>
          <cell r="U12">
            <v>5</v>
          </cell>
          <cell r="V12">
            <v>26</v>
          </cell>
          <cell r="W12">
            <v>89</v>
          </cell>
        </row>
        <row r="13">
          <cell r="E13" t="str">
            <v>Late Payments (Dues)</v>
          </cell>
          <cell r="O13">
            <v>-2020</v>
          </cell>
        </row>
        <row r="15">
          <cell r="D15" t="str">
            <v>Total Dues</v>
          </cell>
        </row>
        <row r="17">
          <cell r="D17" t="str">
            <v>Interest Income</v>
          </cell>
          <cell r="H17">
            <v>2.5000000000000001E-3</v>
          </cell>
          <cell r="O17">
            <v>162.35026526091269</v>
          </cell>
        </row>
        <row r="18">
          <cell r="D18" t="str">
            <v>Legal &amp; Violation Fees / Lien Fees Assessed</v>
          </cell>
          <cell r="O18">
            <v>1020</v>
          </cell>
        </row>
        <row r="19">
          <cell r="D19" t="str">
            <v>Transfer Fee/Resale Cert Income</v>
          </cell>
          <cell r="O19">
            <v>0</v>
          </cell>
        </row>
        <row r="20">
          <cell r="D20" t="str">
            <v>Miscellaneous Income</v>
          </cell>
          <cell r="O20">
            <v>25.840000000000003</v>
          </cell>
        </row>
        <row r="22">
          <cell r="C22" t="str">
            <v>Total Income &amp; Dues</v>
          </cell>
        </row>
        <row r="24">
          <cell r="C24" t="str">
            <v>Administrative Expense</v>
          </cell>
        </row>
        <row r="25">
          <cell r="D25" t="str">
            <v>Bank Service Charges &amp; Fees</v>
          </cell>
          <cell r="O25">
            <v>10</v>
          </cell>
        </row>
        <row r="26">
          <cell r="D26" t="str">
            <v>Accounting Fees-incl. tax/audit</v>
          </cell>
          <cell r="O26">
            <v>3817</v>
          </cell>
        </row>
        <row r="27">
          <cell r="D27" t="str">
            <v>Benevolence Fund &amp; Donations</v>
          </cell>
          <cell r="O27">
            <v>472.89</v>
          </cell>
        </row>
        <row r="28">
          <cell r="D28" t="str">
            <v>Insurance</v>
          </cell>
          <cell r="O28">
            <v>4787</v>
          </cell>
        </row>
        <row r="29">
          <cell r="D29" t="str">
            <v>Interest Expense - Loan</v>
          </cell>
          <cell r="O29">
            <v>586.45193754669924</v>
          </cell>
        </row>
        <row r="30">
          <cell r="D30" t="str">
            <v>Legal Fees - incl. court filings, liens</v>
          </cell>
          <cell r="O30">
            <v>1534</v>
          </cell>
        </row>
        <row r="31">
          <cell r="D31" t="str">
            <v>Local Taxes</v>
          </cell>
          <cell r="O31">
            <v>25.58</v>
          </cell>
        </row>
        <row r="32">
          <cell r="O32">
            <v>495.65</v>
          </cell>
        </row>
        <row r="33">
          <cell r="D33" t="str">
            <v>Payroll Taxes</v>
          </cell>
          <cell r="O33">
            <v>366.46</v>
          </cell>
        </row>
        <row r="34">
          <cell r="D34" t="str">
            <v>Postage &amp; PO Box</v>
          </cell>
          <cell r="O34">
            <v>193.05</v>
          </cell>
        </row>
        <row r="35">
          <cell r="D35" t="str">
            <v>Security - Park Patrol</v>
          </cell>
          <cell r="O35">
            <v>13200</v>
          </cell>
        </row>
        <row r="36">
          <cell r="D36" t="str">
            <v>Social Events - incl. food &amp; beverage</v>
          </cell>
          <cell r="O36">
            <v>662.89</v>
          </cell>
        </row>
        <row r="37">
          <cell r="D37" t="str">
            <v>Web Site Hosting &amp; Domain Name</v>
          </cell>
          <cell r="O37">
            <v>866.03</v>
          </cell>
        </row>
        <row r="39">
          <cell r="C39" t="str">
            <v>Total Administrative Expenses</v>
          </cell>
        </row>
        <row r="41">
          <cell r="C41" t="str">
            <v>Maintenance &amp; Repairs</v>
          </cell>
        </row>
        <row r="42">
          <cell r="D42" t="str">
            <v>Electrical</v>
          </cell>
          <cell r="O42">
            <v>2644</v>
          </cell>
        </row>
        <row r="43">
          <cell r="D43" t="str">
            <v>Fences &amp; Gates</v>
          </cell>
          <cell r="O43">
            <v>6840.6</v>
          </cell>
        </row>
        <row r="44">
          <cell r="D44" t="str">
            <v>Plumbing</v>
          </cell>
          <cell r="O44">
            <v>0</v>
          </cell>
        </row>
        <row r="45">
          <cell r="D45" t="str">
            <v>Rear walkways &amp; Common Park walkway</v>
          </cell>
          <cell r="O45">
            <v>2827.71</v>
          </cell>
        </row>
        <row r="46">
          <cell r="D46" t="str">
            <v>Signs</v>
          </cell>
          <cell r="O46">
            <v>304.13</v>
          </cell>
        </row>
        <row r="47">
          <cell r="D47" t="str">
            <v>Tennis &amp; Basketball Courts</v>
          </cell>
          <cell r="O47">
            <v>179.8</v>
          </cell>
        </row>
        <row r="49">
          <cell r="C49" t="str">
            <v>Total Maintenance &amp; repairs</v>
          </cell>
        </row>
        <row r="51">
          <cell r="C51" t="str">
            <v>Parks &amp; Grounds</v>
          </cell>
        </row>
        <row r="52">
          <cell r="D52" t="str">
            <v>Keys &amp; Locksmith</v>
          </cell>
          <cell r="O52">
            <v>178.56</v>
          </cell>
        </row>
        <row r="53">
          <cell r="D53" t="str">
            <v>Landscaping (walkways &amp; shrubs)</v>
          </cell>
          <cell r="O53">
            <v>4780</v>
          </cell>
        </row>
        <row r="54">
          <cell r="D54" t="str">
            <v>Lawn Mowing Service</v>
          </cell>
          <cell r="O54">
            <v>15509.94</v>
          </cell>
        </row>
        <row r="55">
          <cell r="D55" t="str">
            <v>Misc. Arapaho Median</v>
          </cell>
          <cell r="O55">
            <v>0</v>
          </cell>
        </row>
        <row r="56">
          <cell r="D56" t="str">
            <v>Misc. P&amp;G</v>
          </cell>
          <cell r="O56">
            <v>1667.52</v>
          </cell>
        </row>
        <row r="57">
          <cell r="D57" t="str">
            <v>Tree Trimming</v>
          </cell>
          <cell r="O57">
            <v>7443.2</v>
          </cell>
        </row>
        <row r="58">
          <cell r="O58">
            <v>1031.45</v>
          </cell>
        </row>
        <row r="59">
          <cell r="D59" t="str">
            <v>Sprinkler Repair</v>
          </cell>
          <cell r="O59">
            <v>1170</v>
          </cell>
        </row>
        <row r="61">
          <cell r="C61" t="str">
            <v>Total Parks &amp; Grounds</v>
          </cell>
        </row>
        <row r="63">
          <cell r="C63" t="str">
            <v>Pool Expense</v>
          </cell>
        </row>
        <row r="64">
          <cell r="D64" t="str">
            <v>Chemicals</v>
          </cell>
          <cell r="O64">
            <v>1809.28</v>
          </cell>
        </row>
        <row r="65">
          <cell r="D65" t="str">
            <v>Deck &amp; Pool Repair</v>
          </cell>
          <cell r="O65">
            <v>4975</v>
          </cell>
        </row>
        <row r="66">
          <cell r="E66" t="str">
            <v>Payroll Expenses</v>
          </cell>
        </row>
        <row r="67">
          <cell r="F67" t="str">
            <v>Contract - Attendant</v>
          </cell>
          <cell r="O67">
            <v>950</v>
          </cell>
        </row>
        <row r="68">
          <cell r="F68" t="str">
            <v>Processing Service</v>
          </cell>
          <cell r="O68">
            <v>325</v>
          </cell>
        </row>
        <row r="69">
          <cell r="F69" t="str">
            <v>Wages for Attendant</v>
          </cell>
          <cell r="O69">
            <v>7742.6457142857153</v>
          </cell>
        </row>
        <row r="71">
          <cell r="F71" t="str">
            <v>Total Payroll Expenses</v>
          </cell>
        </row>
        <row r="72">
          <cell r="E72" t="str">
            <v>Permits &amp; License Reqmts - incl. safety course</v>
          </cell>
          <cell r="O72">
            <v>0</v>
          </cell>
        </row>
        <row r="73">
          <cell r="E73" t="str">
            <v>Pool Cleaning Service</v>
          </cell>
          <cell r="O73">
            <v>240</v>
          </cell>
        </row>
        <row r="74">
          <cell r="E74" t="str">
            <v>Pool Furniture</v>
          </cell>
          <cell r="O74">
            <v>0</v>
          </cell>
        </row>
        <row r="75">
          <cell r="E75" t="str">
            <v>Repairs</v>
          </cell>
          <cell r="O75">
            <v>2781.34</v>
          </cell>
        </row>
        <row r="76">
          <cell r="E76" t="str">
            <v>Supplies</v>
          </cell>
          <cell r="O76">
            <v>227.7</v>
          </cell>
        </row>
        <row r="78">
          <cell r="D78" t="str">
            <v>Total Pool Expense</v>
          </cell>
        </row>
        <row r="80">
          <cell r="D80" t="str">
            <v>Property Management Expenses</v>
          </cell>
        </row>
        <row r="81">
          <cell r="E81" t="str">
            <v>Monthly Service Management Fee</v>
          </cell>
          <cell r="O81">
            <v>10382</v>
          </cell>
        </row>
        <row r="82">
          <cell r="E82" t="str">
            <v>Payroll Preparation</v>
          </cell>
          <cell r="O82">
            <v>200</v>
          </cell>
        </row>
        <row r="83">
          <cell r="E83" t="str">
            <v>Project Management Fee</v>
          </cell>
          <cell r="O83">
            <v>914.5</v>
          </cell>
        </row>
        <row r="84">
          <cell r="E84" t="str">
            <v>Resale Certificate Fee</v>
          </cell>
          <cell r="O84">
            <v>600</v>
          </cell>
        </row>
        <row r="86">
          <cell r="D86" t="str">
            <v>Total - Property Management Expenses</v>
          </cell>
        </row>
        <row r="88">
          <cell r="D88" t="str">
            <v>Utilities</v>
          </cell>
        </row>
        <row r="89">
          <cell r="E89" t="str">
            <v>AT&amp;T</v>
          </cell>
          <cell r="O89">
            <v>240</v>
          </cell>
        </row>
        <row r="90">
          <cell r="E90" t="str">
            <v>Arapaho W&amp;S</v>
          </cell>
          <cell r="O90">
            <v>753.08999999999992</v>
          </cell>
        </row>
        <row r="91">
          <cell r="E91" t="str">
            <v>Electric</v>
          </cell>
          <cell r="O91">
            <v>3448.84</v>
          </cell>
        </row>
        <row r="92">
          <cell r="E92" t="str">
            <v>Water &amp; Sewage - park</v>
          </cell>
          <cell r="O92">
            <v>13807.13</v>
          </cell>
        </row>
        <row r="94">
          <cell r="D94" t="str">
            <v>Total Utilities</v>
          </cell>
        </row>
        <row r="96">
          <cell r="C96" t="str">
            <v>Total Expense</v>
          </cell>
        </row>
        <row r="100">
          <cell r="C100" t="str">
            <v>Other (Income) / Expenses</v>
          </cell>
        </row>
        <row r="101">
          <cell r="D101" t="str">
            <v>Project and Required Maintenance</v>
          </cell>
        </row>
        <row r="102">
          <cell r="E102" t="str">
            <v>2022 - Project Spending - flagpole flower garden</v>
          </cell>
          <cell r="O102">
            <v>250</v>
          </cell>
        </row>
        <row r="103">
          <cell r="E103" t="str">
            <v>Other</v>
          </cell>
          <cell r="O103">
            <v>0</v>
          </cell>
        </row>
        <row r="104">
          <cell r="O104">
            <v>0</v>
          </cell>
        </row>
        <row r="105">
          <cell r="D105" t="str">
            <v>Total Other Expenses</v>
          </cell>
        </row>
        <row r="110">
          <cell r="O110">
            <v>9684.5780624533018</v>
          </cell>
        </row>
        <row r="116">
          <cell r="O116">
            <v>8819.4945509751997</v>
          </cell>
        </row>
        <row r="117">
          <cell r="O117">
            <v>12379.76</v>
          </cell>
        </row>
        <row r="126">
          <cell r="G126">
            <v>6.5000000000000002E-2</v>
          </cell>
        </row>
        <row r="127">
          <cell r="I127">
            <v>859.43</v>
          </cell>
        </row>
        <row r="129">
          <cell r="M129">
            <v>4230.0119375466993</v>
          </cell>
        </row>
      </sheetData>
      <sheetData sheetId="2"/>
      <sheetData sheetId="3"/>
      <sheetData sheetId="4">
        <row r="17">
          <cell r="G17">
            <v>702</v>
          </cell>
          <cell r="H17">
            <v>2730</v>
          </cell>
          <cell r="I17">
            <v>2821</v>
          </cell>
          <cell r="J17">
            <v>2432.5655714285717</v>
          </cell>
          <cell r="K17">
            <v>1615.7142857142858</v>
          </cell>
          <cell r="L17">
            <v>399.28571428571433</v>
          </cell>
        </row>
      </sheetData>
      <sheetData sheetId="5">
        <row r="7">
          <cell r="H7">
            <v>900</v>
          </cell>
          <cell r="I7">
            <v>700</v>
          </cell>
          <cell r="J7">
            <v>700</v>
          </cell>
          <cell r="K7">
            <v>1000</v>
          </cell>
          <cell r="L7">
            <v>800</v>
          </cell>
          <cell r="M7">
            <v>900</v>
          </cell>
          <cell r="N7">
            <v>1100</v>
          </cell>
          <cell r="O7">
            <v>900</v>
          </cell>
          <cell r="P7">
            <v>900</v>
          </cell>
          <cell r="Q7">
            <v>1000</v>
          </cell>
          <cell r="R7">
            <v>700</v>
          </cell>
          <cell r="S7">
            <v>800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Budget"/>
      <sheetName val="2021 Forecast"/>
      <sheetName val="2021 Budget"/>
      <sheetName val="2021 Oct YTD"/>
      <sheetName val="Jan - Sep 2021 Actuals"/>
      <sheetName val="Jan - Aug 2020 Actuals"/>
      <sheetName val="2020 Budget &amp; 2019 Forecast"/>
      <sheetName val="Pool Attendents"/>
      <sheetName val="Security Patrol Schedule"/>
    </sheetNames>
    <sheetDataSet>
      <sheetData sheetId="0"/>
      <sheetData sheetId="1">
        <row r="8">
          <cell r="B8" t="str">
            <v>Ordinary Income/Expense</v>
          </cell>
        </row>
        <row r="9">
          <cell r="C9" t="str">
            <v>Income</v>
          </cell>
        </row>
        <row r="10">
          <cell r="D10" t="str">
            <v>Dues</v>
          </cell>
        </row>
        <row r="11">
          <cell r="E11" t="str">
            <v>Dues Adjustments</v>
          </cell>
          <cell r="M11">
            <v>-509.96</v>
          </cell>
        </row>
        <row r="12">
          <cell r="E12" t="str">
            <v>HOA Dues</v>
          </cell>
          <cell r="H12">
            <v>87</v>
          </cell>
          <cell r="M12">
            <v>125280</v>
          </cell>
          <cell r="S12">
            <v>10</v>
          </cell>
          <cell r="T12">
            <v>27</v>
          </cell>
          <cell r="U12">
            <v>83</v>
          </cell>
        </row>
        <row r="13">
          <cell r="E13" t="str">
            <v>Late Payments (Dues)</v>
          </cell>
          <cell r="M13">
            <v>-1960</v>
          </cell>
        </row>
        <row r="15">
          <cell r="D15" t="str">
            <v>Total Dues</v>
          </cell>
        </row>
        <row r="17">
          <cell r="D17" t="str">
            <v>Interest Income</v>
          </cell>
          <cell r="H17">
            <v>7.4999999999999997E-3</v>
          </cell>
          <cell r="M17">
            <v>402.78066875000002</v>
          </cell>
        </row>
        <row r="18">
          <cell r="D18" t="str">
            <v>Legal Fees / Lien Fees Assessed</v>
          </cell>
          <cell r="M18">
            <v>2216.44</v>
          </cell>
        </row>
        <row r="19">
          <cell r="D19" t="str">
            <v>Unapplied Cash Payment Income</v>
          </cell>
          <cell r="M19">
            <v>1613.3</v>
          </cell>
        </row>
        <row r="20">
          <cell r="D20" t="str">
            <v>Uncategorized Income</v>
          </cell>
          <cell r="M20">
            <v>1005.06</v>
          </cell>
        </row>
        <row r="21">
          <cell r="D21" t="str">
            <v>Arapaho Median Reimbursement</v>
          </cell>
          <cell r="M21">
            <v>138.62333333333333</v>
          </cell>
        </row>
        <row r="23">
          <cell r="C23" t="str">
            <v>Total Income &amp; Dues</v>
          </cell>
        </row>
        <row r="25">
          <cell r="C25" t="str">
            <v>Administrative Expense</v>
          </cell>
        </row>
        <row r="26">
          <cell r="D26" t="str">
            <v>Bank Service Charges &amp; Fees</v>
          </cell>
          <cell r="M26">
            <v>41.14</v>
          </cell>
        </row>
        <row r="27">
          <cell r="D27" t="str">
            <v>Accounting Fees-incl. tax/audit</v>
          </cell>
          <cell r="M27">
            <v>3775</v>
          </cell>
        </row>
        <row r="28">
          <cell r="D28" t="str">
            <v>Benevolence Fund &amp; Donations</v>
          </cell>
          <cell r="M28">
            <v>150</v>
          </cell>
        </row>
        <row r="29">
          <cell r="D29" t="str">
            <v>Food &amp; beverage</v>
          </cell>
          <cell r="M29">
            <v>86.59</v>
          </cell>
        </row>
        <row r="30">
          <cell r="D30" t="str">
            <v>Insurance</v>
          </cell>
          <cell r="M30">
            <v>5584</v>
          </cell>
        </row>
        <row r="31">
          <cell r="D31" t="str">
            <v>Interest Expense - Loan</v>
          </cell>
          <cell r="M31">
            <v>1249.73</v>
          </cell>
        </row>
        <row r="32">
          <cell r="D32" t="str">
            <v>Legal Fees - incl. court filings, liens</v>
          </cell>
          <cell r="M32">
            <v>1700</v>
          </cell>
        </row>
        <row r="33">
          <cell r="D33" t="str">
            <v>Local Taxes</v>
          </cell>
          <cell r="M33">
            <v>14.49</v>
          </cell>
        </row>
        <row r="34">
          <cell r="D34" t="str">
            <v>Mailing &amp; Printing Service</v>
          </cell>
          <cell r="M34">
            <v>12.44</v>
          </cell>
        </row>
        <row r="35">
          <cell r="D35" t="str">
            <v>Payroll Taxes</v>
          </cell>
          <cell r="M35">
            <v>179.61</v>
          </cell>
        </row>
        <row r="36">
          <cell r="D36" t="str">
            <v>Postage &amp; PO Box</v>
          </cell>
          <cell r="M36">
            <v>274.10000000000002</v>
          </cell>
        </row>
        <row r="37">
          <cell r="D37" t="str">
            <v>Security - Park Patrol</v>
          </cell>
          <cell r="M37">
            <v>9100</v>
          </cell>
        </row>
        <row r="38">
          <cell r="D38" t="str">
            <v>Social Events - incl. food &amp; beverage</v>
          </cell>
          <cell r="M38">
            <v>613.04999999999995</v>
          </cell>
        </row>
        <row r="39">
          <cell r="D39" t="str">
            <v>Web Site Hosting &amp; Domain Name</v>
          </cell>
          <cell r="M39">
            <v>239.42000000000002</v>
          </cell>
        </row>
        <row r="41">
          <cell r="C41" t="str">
            <v>Total Administrative Expenses</v>
          </cell>
        </row>
        <row r="43">
          <cell r="C43" t="str">
            <v>Maintenance &amp; Repairs</v>
          </cell>
        </row>
        <row r="44">
          <cell r="D44" t="str">
            <v>Electrical</v>
          </cell>
          <cell r="M44">
            <v>4856.75</v>
          </cell>
        </row>
        <row r="45">
          <cell r="D45" t="str">
            <v>Fences &amp; Gates</v>
          </cell>
          <cell r="M45">
            <v>1750</v>
          </cell>
        </row>
        <row r="46">
          <cell r="D46" t="str">
            <v>Plumbing</v>
          </cell>
          <cell r="M46">
            <v>1041.1300000000001</v>
          </cell>
        </row>
        <row r="47">
          <cell r="D47" t="str">
            <v>Sidewalks &amp; Common Park</v>
          </cell>
          <cell r="M47">
            <v>2250</v>
          </cell>
        </row>
        <row r="48">
          <cell r="D48" t="str">
            <v>Signs</v>
          </cell>
          <cell r="M48">
            <v>437.33</v>
          </cell>
        </row>
        <row r="50">
          <cell r="C50" t="str">
            <v>Total Maintenance &amp; repairs</v>
          </cell>
        </row>
        <row r="52">
          <cell r="C52" t="str">
            <v>Parks &amp; Grounds</v>
          </cell>
        </row>
        <row r="53">
          <cell r="D53" t="str">
            <v>Keys &amp; Locksmith</v>
          </cell>
          <cell r="M53">
            <v>129.9</v>
          </cell>
        </row>
        <row r="54">
          <cell r="D54" t="str">
            <v>Landscaping (walkways &amp; shrubs)</v>
          </cell>
          <cell r="M54">
            <v>2487.9700000000003</v>
          </cell>
        </row>
        <row r="55">
          <cell r="D55" t="str">
            <v>Lawn Mowing Service</v>
          </cell>
          <cell r="M55">
            <v>16205</v>
          </cell>
        </row>
        <row r="56">
          <cell r="D56" t="str">
            <v>Misc. Arapaho Median</v>
          </cell>
          <cell r="M56">
            <v>37.79</v>
          </cell>
        </row>
        <row r="57">
          <cell r="D57" t="str">
            <v>Misc. P&amp;G</v>
          </cell>
          <cell r="M57">
            <v>647.95000000000005</v>
          </cell>
        </row>
        <row r="58">
          <cell r="D58" t="str">
            <v>Tree Trimming</v>
          </cell>
          <cell r="M58">
            <v>11001.939999999999</v>
          </cell>
        </row>
        <row r="59">
          <cell r="D59" t="str">
            <v>Sprinkler Repair</v>
          </cell>
          <cell r="M59">
            <v>500</v>
          </cell>
        </row>
        <row r="61">
          <cell r="C61" t="str">
            <v>Total Parks &amp; Grounds</v>
          </cell>
        </row>
        <row r="63">
          <cell r="C63" t="str">
            <v>Pool Expense</v>
          </cell>
        </row>
        <row r="64">
          <cell r="D64" t="str">
            <v>Chemicals</v>
          </cell>
          <cell r="M64">
            <v>1382.8700000000001</v>
          </cell>
        </row>
        <row r="65">
          <cell r="D65" t="str">
            <v>Deck &amp; Pool Repair</v>
          </cell>
          <cell r="M65">
            <v>530.91999999999996</v>
          </cell>
        </row>
        <row r="66">
          <cell r="E66" t="str">
            <v>Payroll Expenses</v>
          </cell>
        </row>
        <row r="67">
          <cell r="F67" t="str">
            <v>Contract - Attendant</v>
          </cell>
          <cell r="M67">
            <v>281.67</v>
          </cell>
        </row>
        <row r="68">
          <cell r="F68" t="str">
            <v>Processing Service</v>
          </cell>
          <cell r="M68">
            <v>364.63</v>
          </cell>
        </row>
        <row r="69">
          <cell r="F69" t="str">
            <v>Taxes</v>
          </cell>
          <cell r="M69">
            <v>914.28</v>
          </cell>
        </row>
        <row r="70">
          <cell r="F70" t="str">
            <v>Wages for Attendant</v>
          </cell>
          <cell r="M70">
            <v>6574.11</v>
          </cell>
        </row>
        <row r="72">
          <cell r="F72" t="str">
            <v>Total Payroll Expenses</v>
          </cell>
        </row>
        <row r="73">
          <cell r="E73" t="str">
            <v>Permits &amp; License Reqmts - incl. safety course</v>
          </cell>
          <cell r="M73">
            <v>20</v>
          </cell>
        </row>
        <row r="74">
          <cell r="E74" t="str">
            <v>Pool Cleaning Service</v>
          </cell>
          <cell r="M74">
            <v>294.13</v>
          </cell>
        </row>
        <row r="75">
          <cell r="E75" t="str">
            <v>Pool Furniture</v>
          </cell>
          <cell r="M75">
            <v>148.69</v>
          </cell>
        </row>
        <row r="76">
          <cell r="E76" t="str">
            <v>Repairs</v>
          </cell>
          <cell r="M76">
            <v>7488.56</v>
          </cell>
        </row>
        <row r="77">
          <cell r="E77" t="str">
            <v>Supplies</v>
          </cell>
          <cell r="M77">
            <v>53.46</v>
          </cell>
        </row>
        <row r="79">
          <cell r="D79" t="str">
            <v>Total Pool Expense</v>
          </cell>
        </row>
        <row r="81">
          <cell r="D81" t="str">
            <v>Property Management Expenses</v>
          </cell>
        </row>
        <row r="82">
          <cell r="E82" t="str">
            <v>Monthly Service Management Fee</v>
          </cell>
          <cell r="M82">
            <v>9845</v>
          </cell>
        </row>
        <row r="83">
          <cell r="E83" t="str">
            <v>Payroll Preparation</v>
          </cell>
          <cell r="M83">
            <v>265</v>
          </cell>
        </row>
        <row r="84">
          <cell r="E84" t="str">
            <v>Project Management Fee</v>
          </cell>
          <cell r="H84">
            <v>0.1</v>
          </cell>
          <cell r="M84">
            <v>425</v>
          </cell>
        </row>
        <row r="85">
          <cell r="E85" t="str">
            <v>Resale Certificate Fee</v>
          </cell>
          <cell r="M85">
            <v>1430</v>
          </cell>
        </row>
        <row r="87">
          <cell r="D87" t="str">
            <v>Total - Property Management Expenses</v>
          </cell>
        </row>
        <row r="89">
          <cell r="E89" t="str">
            <v>Uncategorized Expense</v>
          </cell>
          <cell r="M89">
            <v>300</v>
          </cell>
        </row>
        <row r="91">
          <cell r="D91" t="str">
            <v>Utilities</v>
          </cell>
        </row>
        <row r="92">
          <cell r="E92" t="str">
            <v>Arapaho W&amp;S</v>
          </cell>
          <cell r="M92">
            <v>378.08</v>
          </cell>
        </row>
        <row r="93">
          <cell r="E93" t="str">
            <v>Electric</v>
          </cell>
          <cell r="M93">
            <v>3523.78</v>
          </cell>
        </row>
        <row r="94">
          <cell r="E94" t="str">
            <v>Water &amp; Sewage - park</v>
          </cell>
          <cell r="M94">
            <v>9563.0499999999993</v>
          </cell>
        </row>
        <row r="96">
          <cell r="D96" t="str">
            <v>Total Utilities</v>
          </cell>
        </row>
        <row r="98">
          <cell r="C98" t="str">
            <v>Total Expense</v>
          </cell>
        </row>
        <row r="102">
          <cell r="C102" t="str">
            <v>Other (Income) / Expenses</v>
          </cell>
        </row>
        <row r="103">
          <cell r="D103" t="str">
            <v>Project and Required Maintenance</v>
          </cell>
        </row>
        <row r="104">
          <cell r="E104" t="str">
            <v>Deck Repair - 2021</v>
          </cell>
          <cell r="M104">
            <v>835.24</v>
          </cell>
        </row>
        <row r="105">
          <cell r="E105" t="str">
            <v>Other</v>
          </cell>
          <cell r="M105">
            <v>0</v>
          </cell>
        </row>
        <row r="106">
          <cell r="M106">
            <v>0</v>
          </cell>
        </row>
        <row r="107">
          <cell r="D107" t="str">
            <v>Total Other Expenses</v>
          </cell>
        </row>
        <row r="112">
          <cell r="M112">
            <v>9077</v>
          </cell>
        </row>
        <row r="118">
          <cell r="M118">
            <v>13015.176041666668</v>
          </cell>
        </row>
        <row r="119">
          <cell r="M119">
            <v>12346</v>
          </cell>
        </row>
        <row r="128">
          <cell r="G128">
            <v>6.5000000000000002E-2</v>
          </cell>
        </row>
        <row r="129">
          <cell r="I129">
            <v>859.43</v>
          </cell>
        </row>
        <row r="131">
          <cell r="K131">
            <v>13915.09819958546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Forecast"/>
      <sheetName val="2025 Budget"/>
      <sheetName val="2023 Forecast"/>
      <sheetName val="2023 Budget"/>
      <sheetName val="2022 Budget"/>
      <sheetName val="2024 Budget"/>
      <sheetName val="Jan - Sep 2024 Actuals"/>
      <sheetName val="Pool Attendents"/>
      <sheetName val="Security Patrol"/>
      <sheetName val="Bank Loan &amp; Pool Renovatio"/>
    </sheetNames>
    <sheetDataSet>
      <sheetData sheetId="0">
        <row r="8">
          <cell r="B8" t="str">
            <v>Ordinary Income/Expense</v>
          </cell>
        </row>
        <row r="9">
          <cell r="C9" t="str">
            <v>Income</v>
          </cell>
        </row>
        <row r="10">
          <cell r="D10" t="str">
            <v>Dues</v>
          </cell>
        </row>
        <row r="11">
          <cell r="E11" t="str">
            <v>Dues Adjustments</v>
          </cell>
          <cell r="O11">
            <v>0</v>
          </cell>
        </row>
        <row r="12">
          <cell r="E12" t="str">
            <v>HOA Dues</v>
          </cell>
          <cell r="H12">
            <v>99.285449999999997</v>
          </cell>
          <cell r="O12">
            <v>142970.92180000001</v>
          </cell>
        </row>
        <row r="13">
          <cell r="E13" t="str">
            <v>Late Payments (Dues)</v>
          </cell>
          <cell r="O13">
            <v>-2400</v>
          </cell>
        </row>
        <row r="15">
          <cell r="D15" t="str">
            <v>Total Dues</v>
          </cell>
        </row>
        <row r="17">
          <cell r="D17" t="str">
            <v>Interest Income</v>
          </cell>
          <cell r="H17">
            <v>1.1599999999999999E-2</v>
          </cell>
          <cell r="O17">
            <v>516.89351261022227</v>
          </cell>
        </row>
        <row r="18">
          <cell r="D18" t="str">
            <v>Legal &amp; Violation Fees / Lien Fees Assessed</v>
          </cell>
          <cell r="O18">
            <v>-12.5</v>
          </cell>
        </row>
        <row r="19">
          <cell r="D19" t="str">
            <v>Transfer Fee/Resale Cert Income</v>
          </cell>
          <cell r="O19">
            <v>700</v>
          </cell>
        </row>
        <row r="20">
          <cell r="D20" t="str">
            <v>Miscellaneous Income</v>
          </cell>
          <cell r="O20">
            <v>0</v>
          </cell>
        </row>
        <row r="22">
          <cell r="C22" t="str">
            <v>Total Income &amp; Dues</v>
          </cell>
        </row>
        <row r="24">
          <cell r="C24" t="str">
            <v>Administrative Expense</v>
          </cell>
        </row>
        <row r="25">
          <cell r="D25" t="str">
            <v>Bank Service Charges &amp; Fees</v>
          </cell>
          <cell r="O25">
            <v>606</v>
          </cell>
        </row>
        <row r="26">
          <cell r="D26" t="str">
            <v>Accounting Fees-incl. tax/audit</v>
          </cell>
          <cell r="O26">
            <v>5834.75</v>
          </cell>
        </row>
        <row r="27">
          <cell r="D27" t="str">
            <v>Benevolence Fund &amp; Donations</v>
          </cell>
          <cell r="O27">
            <v>285</v>
          </cell>
        </row>
        <row r="28">
          <cell r="D28" t="str">
            <v>Insurance</v>
          </cell>
          <cell r="O28">
            <v>3939.11</v>
          </cell>
        </row>
        <row r="29">
          <cell r="D29" t="str">
            <v>Interest Expense - Loan</v>
          </cell>
          <cell r="O29">
            <v>2847.2049888173497</v>
          </cell>
        </row>
        <row r="30">
          <cell r="D30" t="str">
            <v>Legal Fees - incl. court filings, liens</v>
          </cell>
          <cell r="O30">
            <v>950</v>
          </cell>
        </row>
        <row r="31">
          <cell r="D31" t="str">
            <v>Local Taxes</v>
          </cell>
          <cell r="O31">
            <v>22.1</v>
          </cell>
        </row>
        <row r="32">
          <cell r="O32">
            <v>147.19999999999999</v>
          </cell>
        </row>
        <row r="33">
          <cell r="D33" t="str">
            <v>Postage &amp; PO Box</v>
          </cell>
          <cell r="O33">
            <v>281.51</v>
          </cell>
        </row>
        <row r="34">
          <cell r="D34" t="str">
            <v>Security - Park Patrol</v>
          </cell>
          <cell r="O34">
            <v>9000</v>
          </cell>
        </row>
        <row r="35">
          <cell r="D35" t="str">
            <v>Social Events - incl. food &amp; beverage</v>
          </cell>
          <cell r="O35">
            <v>716.8</v>
          </cell>
        </row>
        <row r="36">
          <cell r="D36" t="str">
            <v>Web Site</v>
          </cell>
          <cell r="O36">
            <v>1358.9099999999999</v>
          </cell>
        </row>
        <row r="38">
          <cell r="C38" t="str">
            <v>Total Administrative Expenses</v>
          </cell>
        </row>
        <row r="40">
          <cell r="C40" t="str">
            <v>Maintenance &amp; Repairs</v>
          </cell>
        </row>
        <row r="41">
          <cell r="D41" t="str">
            <v>Electrical</v>
          </cell>
          <cell r="O41">
            <v>389.38</v>
          </cell>
        </row>
        <row r="42">
          <cell r="D42" t="str">
            <v>Fences &amp; Gates</v>
          </cell>
          <cell r="O42">
            <v>500</v>
          </cell>
        </row>
        <row r="43">
          <cell r="D43" t="str">
            <v>Plumbing</v>
          </cell>
          <cell r="O43">
            <v>884.54</v>
          </cell>
        </row>
        <row r="44">
          <cell r="D44" t="str">
            <v>Rear walkways &amp; Common Park walkway</v>
          </cell>
          <cell r="O44">
            <v>7875.8</v>
          </cell>
        </row>
        <row r="45">
          <cell r="D45" t="str">
            <v>Signs</v>
          </cell>
          <cell r="O45">
            <v>0</v>
          </cell>
        </row>
        <row r="46">
          <cell r="D46" t="str">
            <v>Tennis &amp; Basketball Courts</v>
          </cell>
          <cell r="O46">
            <v>5822.11</v>
          </cell>
        </row>
        <row r="48">
          <cell r="C48" t="str">
            <v>Total Maintenance &amp; repairs</v>
          </cell>
        </row>
        <row r="50">
          <cell r="C50" t="str">
            <v>Parks &amp; Grounds</v>
          </cell>
        </row>
        <row r="51">
          <cell r="D51" t="str">
            <v>Keys &amp; Locksmith</v>
          </cell>
          <cell r="O51">
            <v>0</v>
          </cell>
        </row>
        <row r="52">
          <cell r="D52" t="str">
            <v>Landscaping (walkways &amp; shrubs)</v>
          </cell>
          <cell r="O52">
            <v>750</v>
          </cell>
        </row>
        <row r="53">
          <cell r="D53" t="str">
            <v>Lawn Mowing Service</v>
          </cell>
          <cell r="O53">
            <v>17887</v>
          </cell>
        </row>
        <row r="54">
          <cell r="D54" t="str">
            <v>Misc. Arapaho Median</v>
          </cell>
          <cell r="O54">
            <v>0</v>
          </cell>
        </row>
        <row r="55">
          <cell r="D55" t="str">
            <v>Misc. P&amp;G</v>
          </cell>
          <cell r="O55">
            <v>53.44</v>
          </cell>
        </row>
        <row r="56">
          <cell r="D56" t="str">
            <v>Tree Trimming</v>
          </cell>
          <cell r="O56">
            <v>3459.33</v>
          </cell>
        </row>
        <row r="57">
          <cell r="O57">
            <v>281.45</v>
          </cell>
        </row>
        <row r="58">
          <cell r="D58" t="str">
            <v>Sprinkler Repair</v>
          </cell>
          <cell r="O58">
            <v>3584.08</v>
          </cell>
        </row>
        <row r="60">
          <cell r="C60" t="str">
            <v>Total Parks &amp; Grounds</v>
          </cell>
        </row>
        <row r="62">
          <cell r="C62" t="str">
            <v>Pool Expense</v>
          </cell>
        </row>
        <row r="63">
          <cell r="D63" t="str">
            <v>Chemicals</v>
          </cell>
          <cell r="O63">
            <v>1979.08</v>
          </cell>
        </row>
        <row r="64">
          <cell r="D64" t="str">
            <v>Deck &amp; Pool Repair</v>
          </cell>
          <cell r="O64">
            <v>2500</v>
          </cell>
        </row>
        <row r="65">
          <cell r="E65" t="str">
            <v>Payroll Expenses</v>
          </cell>
        </row>
        <row r="66">
          <cell r="F66" t="str">
            <v>Contract - Attendant</v>
          </cell>
          <cell r="O66">
            <v>500</v>
          </cell>
        </row>
        <row r="67">
          <cell r="F67" t="str">
            <v>Processing Service</v>
          </cell>
          <cell r="O67">
            <v>408.86</v>
          </cell>
        </row>
        <row r="68">
          <cell r="F68" t="str">
            <v>Taxes</v>
          </cell>
          <cell r="O68">
            <v>1001.9200000000001</v>
          </cell>
        </row>
        <row r="69">
          <cell r="F69" t="str">
            <v>Wages for Attendant</v>
          </cell>
          <cell r="O69">
            <v>9199.75</v>
          </cell>
        </row>
        <row r="71">
          <cell r="F71" t="str">
            <v>Total Payroll Expenses</v>
          </cell>
        </row>
        <row r="72">
          <cell r="E72" t="str">
            <v>Permits &amp; License Reqmts - incl. safety course</v>
          </cell>
          <cell r="O72">
            <v>20</v>
          </cell>
        </row>
        <row r="73">
          <cell r="E73" t="str">
            <v>Pool Cleaning Service</v>
          </cell>
          <cell r="O73">
            <v>0</v>
          </cell>
        </row>
        <row r="74">
          <cell r="E74" t="str">
            <v>Pool Furniture</v>
          </cell>
          <cell r="O74">
            <v>0</v>
          </cell>
        </row>
        <row r="75">
          <cell r="E75" t="str">
            <v>Mechanical Repairs</v>
          </cell>
          <cell r="O75">
            <v>350</v>
          </cell>
        </row>
        <row r="76">
          <cell r="E76" t="str">
            <v>Supplies</v>
          </cell>
          <cell r="O76">
            <v>1948.34</v>
          </cell>
        </row>
        <row r="78">
          <cell r="D78" t="str">
            <v>Total Pool Expense</v>
          </cell>
        </row>
        <row r="80">
          <cell r="D80" t="str">
            <v>Property Management Expenses</v>
          </cell>
        </row>
        <row r="81">
          <cell r="E81" t="str">
            <v>Monthly Service Management Fee</v>
          </cell>
          <cell r="O81">
            <v>11265.44</v>
          </cell>
        </row>
        <row r="82">
          <cell r="E82" t="str">
            <v>Property Management Expenses</v>
          </cell>
          <cell r="O82">
            <v>28.12</v>
          </cell>
        </row>
        <row r="83">
          <cell r="E83" t="str">
            <v>Payroll Preparation</v>
          </cell>
          <cell r="O83">
            <v>150</v>
          </cell>
        </row>
        <row r="84">
          <cell r="E84" t="str">
            <v>Project Management Fee</v>
          </cell>
          <cell r="O84">
            <v>2526.75</v>
          </cell>
        </row>
        <row r="85">
          <cell r="E85" t="str">
            <v>Resale Certificate Fee</v>
          </cell>
          <cell r="O85">
            <v>600</v>
          </cell>
        </row>
        <row r="87">
          <cell r="D87" t="str">
            <v>Total - Property Management Expenses</v>
          </cell>
        </row>
        <row r="89">
          <cell r="D89" t="str">
            <v>Utilities</v>
          </cell>
        </row>
        <row r="90">
          <cell r="E90" t="str">
            <v>Telephone</v>
          </cell>
          <cell r="O90">
            <v>0</v>
          </cell>
        </row>
        <row r="91">
          <cell r="E91" t="str">
            <v>AT&amp;T internet</v>
          </cell>
          <cell r="O91">
            <v>339.56</v>
          </cell>
        </row>
        <row r="92">
          <cell r="E92" t="str">
            <v>Arapaho W&amp;S</v>
          </cell>
          <cell r="O92">
            <v>445.56</v>
          </cell>
        </row>
        <row r="93">
          <cell r="E93" t="str">
            <v>Electric</v>
          </cell>
          <cell r="O93">
            <v>3511.7</v>
          </cell>
        </row>
        <row r="94">
          <cell r="E94" t="str">
            <v>Water &amp; Sewage - park</v>
          </cell>
          <cell r="O94">
            <v>13208.98</v>
          </cell>
        </row>
        <row r="96">
          <cell r="D96" t="str">
            <v>Total Utilities</v>
          </cell>
        </row>
        <row r="98">
          <cell r="C98" t="str">
            <v>Total Expense</v>
          </cell>
        </row>
        <row r="102">
          <cell r="C102" t="str">
            <v>Other (Income) / Expenses</v>
          </cell>
        </row>
        <row r="103">
          <cell r="D103" t="str">
            <v>Project and Required Maintenance</v>
          </cell>
        </row>
        <row r="104">
          <cell r="E104" t="str">
            <v>2024 - Pool Renovation</v>
          </cell>
          <cell r="O104">
            <v>86958.69</v>
          </cell>
        </row>
        <row r="105">
          <cell r="E105" t="str">
            <v>Other</v>
          </cell>
          <cell r="O105">
            <v>0</v>
          </cell>
        </row>
        <row r="106">
          <cell r="O106">
            <v>0</v>
          </cell>
        </row>
        <row r="107">
          <cell r="D107" t="str">
            <v>Total Other Expenses</v>
          </cell>
        </row>
        <row r="112">
          <cell r="O112">
            <v>7676.1001374189145</v>
          </cell>
        </row>
        <row r="114">
          <cell r="O114">
            <v>-70319.249813626055</v>
          </cell>
        </row>
        <row r="118">
          <cell r="O118">
            <v>5413.2453126102209</v>
          </cell>
        </row>
        <row r="119">
          <cell r="O119">
            <v>7259.94</v>
          </cell>
        </row>
        <row r="128">
          <cell r="G128">
            <v>9.5000000000000001E-2</v>
          </cell>
        </row>
        <row r="129">
          <cell r="K129">
            <v>1334.76</v>
          </cell>
        </row>
        <row r="131">
          <cell r="M131">
            <v>47724.189862581094</v>
          </cell>
        </row>
        <row r="138">
          <cell r="G138" t="str">
            <v>Repair ceiling in bathrooms and library</v>
          </cell>
        </row>
        <row r="139">
          <cell r="G139" t="str">
            <v>Re-surface/stripe tennis court</v>
          </cell>
        </row>
        <row r="140">
          <cell r="G140" t="str">
            <v>Install 2 handicap ramps</v>
          </cell>
        </row>
        <row r="141">
          <cell r="G141" t="str">
            <v>Add sprinkler station to east-end of park</v>
          </cell>
        </row>
        <row r="142">
          <cell r="G142" t="str">
            <v>Swipe-card/fob pool keys</v>
          </cell>
        </row>
        <row r="143">
          <cell r="G143" t="str">
            <v>Reconfigure pavilion bathroom access</v>
          </cell>
        </row>
        <row r="144">
          <cell r="G144" t="str">
            <v>Security Cameras</v>
          </cell>
        </row>
        <row r="145">
          <cell r="G145" t="str">
            <v>Pay down loan balance</v>
          </cell>
        </row>
      </sheetData>
      <sheetData sheetId="1"/>
      <sheetData sheetId="2">
        <row r="12">
          <cell r="U12">
            <v>5</v>
          </cell>
          <cell r="V12">
            <v>26</v>
          </cell>
          <cell r="W12">
            <v>89</v>
          </cell>
        </row>
      </sheetData>
      <sheetData sheetId="3"/>
      <sheetData sheetId="4"/>
      <sheetData sheetId="5"/>
      <sheetData sheetId="6"/>
      <sheetData sheetId="7">
        <row r="17">
          <cell r="C17"/>
          <cell r="D17"/>
          <cell r="E17"/>
          <cell r="F17"/>
          <cell r="G17">
            <v>630</v>
          </cell>
          <cell r="H17">
            <v>2940</v>
          </cell>
          <cell r="I17">
            <v>3038</v>
          </cell>
          <cell r="J17">
            <v>2619.6860000000006</v>
          </cell>
          <cell r="K17">
            <v>1740.0000000000002</v>
          </cell>
          <cell r="L17">
            <v>430</v>
          </cell>
          <cell r="M17"/>
          <cell r="N17"/>
        </row>
        <row r="19">
          <cell r="C19">
            <v>112</v>
          </cell>
          <cell r="D19">
            <v>56</v>
          </cell>
          <cell r="E19">
            <v>56</v>
          </cell>
          <cell r="F19">
            <v>112</v>
          </cell>
          <cell r="G19"/>
          <cell r="H19"/>
          <cell r="I19"/>
          <cell r="J19"/>
          <cell r="K19"/>
          <cell r="L19"/>
          <cell r="M19">
            <v>112</v>
          </cell>
          <cell r="N19">
            <v>56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2BBA-09EE-46EC-B682-C7980CE927A1}">
  <sheetPr transitionEntry="1">
    <tabColor rgb="FFDDFFDD"/>
  </sheetPr>
  <dimension ref="A1:AI149"/>
  <sheetViews>
    <sheetView topLeftCell="A112" zoomScale="110" zoomScaleNormal="110" workbookViewId="0"/>
  </sheetViews>
  <sheetFormatPr defaultColWidth="9.109375" defaultRowHeight="13.8" outlineLevelRow="1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9" width="11" style="26" customWidth="1"/>
    <col min="10" max="10" width="11" style="26" hidden="1" customWidth="1" outlineLevel="1"/>
    <col min="11" max="11" width="11" style="26" customWidth="1" collapsed="1"/>
    <col min="12" max="13" width="11" style="26" customWidth="1"/>
    <col min="14" max="14" width="2.109375" style="26" customWidth="1"/>
    <col min="15" max="15" width="12.5546875" style="26" customWidth="1"/>
    <col min="16" max="17" width="12.5546875" style="55" customWidth="1"/>
    <col min="18" max="18" width="2.6640625" style="26" customWidth="1"/>
    <col min="19" max="21" width="9.109375" style="26" customWidth="1"/>
    <col min="22" max="22" width="10.33203125" style="26" customWidth="1"/>
    <col min="23" max="24" width="9.109375" style="26" customWidth="1"/>
    <col min="25" max="25" width="10.88671875" style="26" customWidth="1"/>
    <col min="26" max="27" width="9.109375" style="26" customWidth="1"/>
    <col min="28" max="16384" width="9.109375" style="26"/>
  </cols>
  <sheetData>
    <row r="1" spans="1:31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30"/>
      <c r="Q1" s="30"/>
    </row>
    <row r="2" spans="1:31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30"/>
      <c r="Q2" s="30"/>
    </row>
    <row r="3" spans="1:31" x14ac:dyDescent="0.3">
      <c r="A3" s="153" t="s">
        <v>223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30"/>
      <c r="Q3" s="30"/>
    </row>
    <row r="4" spans="1:31" x14ac:dyDescent="0.3">
      <c r="A4" s="4"/>
      <c r="B4" s="6"/>
      <c r="C4" s="28"/>
      <c r="D4" s="28"/>
      <c r="E4" s="28"/>
      <c r="F4" s="28"/>
      <c r="G4" s="197">
        <f>'2026 Budget'!G4</f>
        <v>45975.562652314817</v>
      </c>
      <c r="H4" s="28"/>
      <c r="I4" s="29"/>
      <c r="J4" s="29"/>
      <c r="K4" s="29"/>
      <c r="L4" s="29"/>
      <c r="M4" s="29"/>
      <c r="N4" s="29"/>
      <c r="O4" s="76"/>
      <c r="P4" s="75"/>
      <c r="Q4" s="65" t="s">
        <v>40</v>
      </c>
      <c r="S4" s="103"/>
      <c r="W4" s="116"/>
      <c r="X4" s="116"/>
    </row>
    <row r="5" spans="1:31" x14ac:dyDescent="0.3">
      <c r="A5" s="8"/>
      <c r="B5" s="31"/>
      <c r="C5" s="31"/>
      <c r="D5" s="31"/>
      <c r="E5" s="31"/>
      <c r="F5" s="31"/>
      <c r="G5" s="104"/>
      <c r="H5" s="31"/>
      <c r="I5" s="32"/>
      <c r="J5" s="32"/>
      <c r="K5" s="32"/>
      <c r="L5" s="32"/>
      <c r="M5" s="32"/>
      <c r="N5" s="32"/>
      <c r="O5" s="66">
        <v>2025</v>
      </c>
      <c r="P5" s="37">
        <v>2025</v>
      </c>
      <c r="Q5" s="216" t="s">
        <v>228</v>
      </c>
      <c r="R5" s="33"/>
    </row>
    <row r="6" spans="1:31" x14ac:dyDescent="0.3">
      <c r="A6" s="26"/>
      <c r="I6" s="364" t="s">
        <v>44</v>
      </c>
      <c r="J6" s="263" t="s">
        <v>42</v>
      </c>
      <c r="K6" s="364" t="s">
        <v>44</v>
      </c>
      <c r="L6" s="34" t="s">
        <v>42</v>
      </c>
      <c r="M6" s="34" t="s">
        <v>42</v>
      </c>
      <c r="N6" s="34"/>
      <c r="O6" s="87" t="s">
        <v>42</v>
      </c>
      <c r="P6" s="175" t="s">
        <v>41</v>
      </c>
      <c r="Q6" s="217" t="s">
        <v>43</v>
      </c>
      <c r="R6" s="33"/>
      <c r="AC6" s="364" t="s">
        <v>44</v>
      </c>
      <c r="AD6" s="364" t="s">
        <v>44</v>
      </c>
      <c r="AE6" s="364" t="s">
        <v>44</v>
      </c>
    </row>
    <row r="7" spans="1:31" s="38" customFormat="1" ht="14.4" thickBot="1" x14ac:dyDescent="0.35">
      <c r="A7" s="35"/>
      <c r="B7" s="35"/>
      <c r="C7" s="35"/>
      <c r="D7" s="35"/>
      <c r="E7" s="35"/>
      <c r="F7" s="35"/>
      <c r="G7" s="35"/>
      <c r="H7" s="33"/>
      <c r="I7" s="259" t="s">
        <v>201</v>
      </c>
      <c r="J7" s="264" t="s">
        <v>31</v>
      </c>
      <c r="K7" s="36" t="s">
        <v>32</v>
      </c>
      <c r="L7" s="36" t="s">
        <v>33</v>
      </c>
      <c r="M7" s="36" t="s">
        <v>34</v>
      </c>
      <c r="N7" s="36"/>
      <c r="O7" s="68" t="s">
        <v>67</v>
      </c>
      <c r="P7" s="36" t="s">
        <v>67</v>
      </c>
      <c r="Q7" s="78" t="s">
        <v>205</v>
      </c>
      <c r="R7" s="37"/>
      <c r="AC7" s="36" t="s">
        <v>32</v>
      </c>
      <c r="AD7" s="259" t="s">
        <v>180</v>
      </c>
      <c r="AE7" s="36" t="s">
        <v>246</v>
      </c>
    </row>
    <row r="8" spans="1:31" ht="13.5" customHeight="1" thickTop="1" x14ac:dyDescent="0.3">
      <c r="A8" s="39"/>
      <c r="B8" s="40" t="s">
        <v>0</v>
      </c>
      <c r="C8" s="39"/>
      <c r="D8" s="39"/>
      <c r="E8" s="39"/>
      <c r="F8" s="39"/>
      <c r="G8" s="39"/>
      <c r="H8" s="33"/>
      <c r="I8" s="41"/>
      <c r="J8" s="265"/>
      <c r="K8" s="41"/>
      <c r="L8" s="41"/>
      <c r="M8" s="41"/>
      <c r="N8" s="41"/>
      <c r="O8" s="69"/>
      <c r="P8" s="67"/>
      <c r="Q8" s="79"/>
      <c r="R8" s="33"/>
      <c r="AC8" s="41"/>
      <c r="AD8" s="41"/>
      <c r="AE8" s="41"/>
    </row>
    <row r="9" spans="1:31" ht="13.5" customHeight="1" x14ac:dyDescent="0.3">
      <c r="A9" s="39"/>
      <c r="B9" s="39"/>
      <c r="C9" s="40" t="s">
        <v>1</v>
      </c>
      <c r="D9" s="39"/>
      <c r="E9" s="33"/>
      <c r="F9" s="39"/>
      <c r="G9" s="39"/>
      <c r="H9" s="349"/>
      <c r="I9" s="24"/>
      <c r="J9" s="265"/>
      <c r="K9" s="24"/>
      <c r="L9" s="24"/>
      <c r="M9" s="24"/>
      <c r="N9" s="24"/>
      <c r="O9" s="69"/>
      <c r="Q9" s="81"/>
      <c r="U9" s="38"/>
      <c r="V9" s="38"/>
      <c r="W9" s="38"/>
      <c r="AC9" s="24"/>
      <c r="AD9" s="24"/>
      <c r="AE9" s="24"/>
    </row>
    <row r="10" spans="1:31" ht="13.5" customHeight="1" x14ac:dyDescent="0.3">
      <c r="A10" s="39"/>
      <c r="B10" s="39"/>
      <c r="C10" s="39"/>
      <c r="D10" s="39" t="s">
        <v>64</v>
      </c>
      <c r="E10" s="33"/>
      <c r="F10" s="39"/>
      <c r="G10" s="39"/>
      <c r="H10" s="33"/>
      <c r="I10" s="24"/>
      <c r="J10" s="265"/>
      <c r="K10" s="24"/>
      <c r="L10" s="24"/>
      <c r="M10" s="24"/>
      <c r="N10" s="24"/>
      <c r="O10" s="69"/>
      <c r="Q10" s="81"/>
      <c r="U10" s="140"/>
      <c r="V10" s="140"/>
      <c r="W10" s="140"/>
      <c r="AC10" s="24"/>
      <c r="AD10" s="24"/>
      <c r="AE10" s="24"/>
    </row>
    <row r="11" spans="1:31" ht="13.5" customHeight="1" x14ac:dyDescent="0.3">
      <c r="A11" s="39"/>
      <c r="B11" s="39"/>
      <c r="C11" s="39"/>
      <c r="D11" s="39"/>
      <c r="E11" s="147" t="s">
        <v>124</v>
      </c>
      <c r="F11" s="33"/>
      <c r="G11" s="39"/>
      <c r="H11" s="113"/>
      <c r="I11" s="50">
        <f>AE11</f>
        <v>0</v>
      </c>
      <c r="J11" s="50">
        <v>0</v>
      </c>
      <c r="K11" s="50">
        <f>AC11</f>
        <v>0</v>
      </c>
      <c r="L11" s="42">
        <v>0</v>
      </c>
      <c r="M11" s="42">
        <v>0</v>
      </c>
      <c r="N11" s="42"/>
      <c r="O11" s="70">
        <f>SUM(I11:N11)</f>
        <v>0</v>
      </c>
      <c r="P11" s="50">
        <f>'2025 Budget'!U11</f>
        <v>0</v>
      </c>
      <c r="Q11" s="82">
        <f t="shared" ref="Q11" si="0">O11-P11</f>
        <v>0</v>
      </c>
      <c r="U11" s="321" t="s">
        <v>164</v>
      </c>
      <c r="V11" s="321" t="s">
        <v>166</v>
      </c>
      <c r="W11" s="321" t="s">
        <v>165</v>
      </c>
      <c r="AC11" s="42">
        <v>0</v>
      </c>
      <c r="AD11" s="42">
        <v>0</v>
      </c>
      <c r="AE11" s="239">
        <f>AD11-AC11</f>
        <v>0</v>
      </c>
    </row>
    <row r="12" spans="1:31" ht="13.5" customHeight="1" x14ac:dyDescent="0.3">
      <c r="A12" s="39"/>
      <c r="B12" s="39"/>
      <c r="C12" s="39"/>
      <c r="D12" s="33"/>
      <c r="E12" s="39" t="s">
        <v>2</v>
      </c>
      <c r="F12" s="33"/>
      <c r="G12" s="39"/>
      <c r="H12" s="367">
        <v>102.77</v>
      </c>
      <c r="I12" s="239">
        <f>AE12</f>
        <v>115646.39999999999</v>
      </c>
      <c r="J12" s="239">
        <v>0</v>
      </c>
      <c r="K12" s="239">
        <f>AC12</f>
        <v>13118.689999999999</v>
      </c>
      <c r="L12" s="141">
        <f>89*H12</f>
        <v>9146.5299999999988</v>
      </c>
      <c r="M12" s="141">
        <f>L12+V12*H12-1741.37</f>
        <v>10077.18</v>
      </c>
      <c r="N12" s="50"/>
      <c r="O12" s="70">
        <f>SUM(I12:N12)</f>
        <v>147988.79999999999</v>
      </c>
      <c r="P12" s="50">
        <f>'2025 Budget'!U12</f>
        <v>147311.20298100001</v>
      </c>
      <c r="Q12" s="82">
        <f>O12-P12</f>
        <v>677.5970189999789</v>
      </c>
      <c r="T12" s="115"/>
      <c r="U12" s="330">
        <v>5</v>
      </c>
      <c r="V12" s="330">
        <f>20+6</f>
        <v>26</v>
      </c>
      <c r="W12" s="330">
        <f>60+29</f>
        <v>89</v>
      </c>
      <c r="X12" s="37">
        <f>W12+V12+U12</f>
        <v>120</v>
      </c>
      <c r="Y12" s="116">
        <f>X12*H12*12</f>
        <v>147988.79999999999</v>
      </c>
      <c r="AC12" s="261">
        <f>14494.21-1375.52</f>
        <v>13118.689999999999</v>
      </c>
      <c r="AD12" s="261">
        <f>126430.67+2334.42</f>
        <v>128765.09</v>
      </c>
      <c r="AE12" s="239">
        <f>AD12-AC12</f>
        <v>115646.39999999999</v>
      </c>
    </row>
    <row r="13" spans="1:31" ht="13.5" customHeight="1" x14ac:dyDescent="0.3">
      <c r="A13" s="39"/>
      <c r="B13" s="39"/>
      <c r="C13" s="39"/>
      <c r="D13" s="33"/>
      <c r="E13" s="39" t="s">
        <v>63</v>
      </c>
      <c r="F13" s="33"/>
      <c r="G13" s="39"/>
      <c r="H13" s="33"/>
      <c r="I13" s="50">
        <f>AE13</f>
        <v>0</v>
      </c>
      <c r="J13" s="50">
        <v>0</v>
      </c>
      <c r="K13" s="50">
        <f>AC13</f>
        <v>0</v>
      </c>
      <c r="L13" s="42">
        <v>-950</v>
      </c>
      <c r="M13" s="50">
        <f>L13</f>
        <v>-950</v>
      </c>
      <c r="N13" s="50"/>
      <c r="O13" s="70">
        <f>SUM(I13:N13)</f>
        <v>-1900</v>
      </c>
      <c r="P13" s="50">
        <f>'2025 Budget'!U13</f>
        <v>-2454.3363240000003</v>
      </c>
      <c r="Q13" s="82">
        <f t="shared" ref="Q13:Q20" si="1">O13-P13</f>
        <v>554.33632400000033</v>
      </c>
      <c r="V13" s="383">
        <f>V12*H12</f>
        <v>2672.02</v>
      </c>
      <c r="W13" s="383">
        <f>W12*H12</f>
        <v>9146.5299999999988</v>
      </c>
      <c r="X13" s="116">
        <f>X12*H12</f>
        <v>12332.4</v>
      </c>
      <c r="Y13" s="385">
        <f>Y12-O12</f>
        <v>0</v>
      </c>
      <c r="AC13" s="42">
        <v>0</v>
      </c>
      <c r="AD13" s="42">
        <v>0</v>
      </c>
      <c r="AE13" s="239">
        <f>AD13-AC13</f>
        <v>0</v>
      </c>
    </row>
    <row r="14" spans="1:31" ht="6" customHeight="1" x14ac:dyDescent="0.3">
      <c r="A14" s="39"/>
      <c r="B14" s="39"/>
      <c r="C14" s="39"/>
      <c r="D14" s="33"/>
      <c r="E14" s="39"/>
      <c r="F14" s="33"/>
      <c r="G14" s="39"/>
      <c r="H14" s="33"/>
      <c r="I14" s="80"/>
      <c r="J14" s="80"/>
      <c r="K14" s="80"/>
      <c r="L14" s="43"/>
      <c r="M14" s="43"/>
      <c r="N14" s="43"/>
      <c r="O14" s="71"/>
      <c r="P14" s="80"/>
      <c r="Q14" s="83"/>
      <c r="AC14" s="43"/>
      <c r="AD14" s="43"/>
      <c r="AE14" s="43"/>
    </row>
    <row r="15" spans="1:31" ht="13.5" customHeight="1" x14ac:dyDescent="0.3">
      <c r="A15" s="39"/>
      <c r="B15" s="39"/>
      <c r="C15" s="39"/>
      <c r="D15" s="40" t="s">
        <v>66</v>
      </c>
      <c r="E15" s="33"/>
      <c r="F15" s="39"/>
      <c r="G15" s="39"/>
      <c r="H15" s="33"/>
      <c r="I15" s="44">
        <f>SUM(I10:I14)</f>
        <v>115646.39999999999</v>
      </c>
      <c r="J15" s="44">
        <f t="shared" ref="J15:Q15" si="2">SUM(J10:J14)</f>
        <v>0</v>
      </c>
      <c r="K15" s="44">
        <f t="shared" si="2"/>
        <v>13118.689999999999</v>
      </c>
      <c r="L15" s="44">
        <f t="shared" si="2"/>
        <v>8196.5299999999988</v>
      </c>
      <c r="M15" s="44">
        <f t="shared" si="2"/>
        <v>9127.18</v>
      </c>
      <c r="N15" s="44"/>
      <c r="O15" s="72">
        <f t="shared" si="2"/>
        <v>146088.79999999999</v>
      </c>
      <c r="P15" s="44">
        <f t="shared" si="2"/>
        <v>144856.86665700001</v>
      </c>
      <c r="Q15" s="84">
        <f t="shared" si="2"/>
        <v>1231.9333429999792</v>
      </c>
      <c r="R15" s="33"/>
      <c r="S15" s="100">
        <f>O15-P15</f>
        <v>1231.9333429999824</v>
      </c>
      <c r="X15" s="384"/>
      <c r="AC15" s="44">
        <f t="shared" ref="AC15" si="3">SUM(AC10:AC14)</f>
        <v>13118.689999999999</v>
      </c>
      <c r="AD15" s="44">
        <f>SUM(AD10:AD14)</f>
        <v>128765.09</v>
      </c>
      <c r="AE15" s="44">
        <f t="shared" ref="AE15" si="4">SUM(AE10:AE14)</f>
        <v>115646.39999999999</v>
      </c>
    </row>
    <row r="16" spans="1:31" ht="13.5" customHeight="1" x14ac:dyDescent="0.3">
      <c r="A16" s="39"/>
      <c r="B16" s="39"/>
      <c r="C16" s="39"/>
      <c r="D16" s="39"/>
      <c r="E16" s="33"/>
      <c r="F16" s="39"/>
      <c r="G16" s="45"/>
      <c r="H16" s="33"/>
      <c r="I16" s="50"/>
      <c r="J16" s="50"/>
      <c r="K16" s="50"/>
      <c r="L16" s="46"/>
      <c r="M16" s="46"/>
      <c r="N16" s="46"/>
      <c r="O16" s="70"/>
      <c r="P16" s="50"/>
      <c r="Q16" s="82"/>
      <c r="S16" s="201"/>
      <c r="V16" s="116"/>
      <c r="X16" s="322"/>
      <c r="AC16" s="46"/>
      <c r="AD16" s="46"/>
      <c r="AE16" s="46"/>
    </row>
    <row r="17" spans="1:31" ht="13.5" customHeight="1" x14ac:dyDescent="0.3">
      <c r="A17" s="39"/>
      <c r="B17" s="39"/>
      <c r="C17" s="39"/>
      <c r="D17" s="39" t="s">
        <v>3</v>
      </c>
      <c r="E17" s="33"/>
      <c r="F17" s="39"/>
      <c r="G17" s="39"/>
      <c r="H17" s="328">
        <v>1.1599999999999999E-2</v>
      </c>
      <c r="I17" s="50">
        <f>AE17</f>
        <v>573.96</v>
      </c>
      <c r="J17" s="50">
        <v>0</v>
      </c>
      <c r="K17" s="50">
        <f>AC17</f>
        <v>49.23</v>
      </c>
      <c r="L17" s="50">
        <f>$H17*I122/12</f>
        <v>31.875920333333337</v>
      </c>
      <c r="M17" s="50">
        <f>$H17*L122/12</f>
        <v>22.545746389655552</v>
      </c>
      <c r="N17" s="50"/>
      <c r="O17" s="70">
        <f t="shared" ref="O17:O20" si="5">SUM(I17:N17)</f>
        <v>677.61166672298884</v>
      </c>
      <c r="P17" s="50">
        <f>'2025 Budget'!U17</f>
        <v>201.90481735569881</v>
      </c>
      <c r="Q17" s="82">
        <f t="shared" si="1"/>
        <v>475.70684936729003</v>
      </c>
      <c r="S17" s="201"/>
      <c r="X17" s="322"/>
      <c r="AC17" s="42">
        <v>49.23</v>
      </c>
      <c r="AD17" s="42">
        <v>623.19000000000005</v>
      </c>
      <c r="AE17" s="239">
        <f>AD17-AC17</f>
        <v>573.96</v>
      </c>
    </row>
    <row r="18" spans="1:31" ht="13.5" customHeight="1" x14ac:dyDescent="0.3">
      <c r="A18" s="39"/>
      <c r="B18" s="39"/>
      <c r="C18" s="39"/>
      <c r="D18" s="39" t="s">
        <v>142</v>
      </c>
      <c r="E18" s="33"/>
      <c r="F18" s="39"/>
      <c r="G18" s="39"/>
      <c r="H18" s="33"/>
      <c r="I18" s="50">
        <f>AE18</f>
        <v>875</v>
      </c>
      <c r="J18" s="50">
        <v>0</v>
      </c>
      <c r="K18" s="50">
        <f>AC18</f>
        <v>326</v>
      </c>
      <c r="L18" s="42">
        <v>0</v>
      </c>
      <c r="M18" s="42">
        <v>0</v>
      </c>
      <c r="N18" s="42"/>
      <c r="O18" s="70">
        <f t="shared" si="5"/>
        <v>1201</v>
      </c>
      <c r="P18" s="50">
        <f>'2025 Budget'!U18</f>
        <v>0</v>
      </c>
      <c r="Q18" s="82">
        <f t="shared" si="1"/>
        <v>1201</v>
      </c>
      <c r="S18" s="201"/>
      <c r="X18" s="322"/>
      <c r="AC18" s="42">
        <v>326</v>
      </c>
      <c r="AD18" s="42">
        <v>1201</v>
      </c>
      <c r="AE18" s="239">
        <f>AD18-AC18</f>
        <v>875</v>
      </c>
    </row>
    <row r="19" spans="1:31" ht="13.5" customHeight="1" x14ac:dyDescent="0.3">
      <c r="A19" s="39"/>
      <c r="B19" s="39"/>
      <c r="C19" s="39"/>
      <c r="D19" s="39" t="s">
        <v>146</v>
      </c>
      <c r="E19" s="33"/>
      <c r="F19" s="39"/>
      <c r="G19" s="39"/>
      <c r="H19" s="33"/>
      <c r="I19" s="50">
        <f>AE19</f>
        <v>1275</v>
      </c>
      <c r="J19" s="50">
        <v>0</v>
      </c>
      <c r="K19" s="50">
        <f>AC19</f>
        <v>0</v>
      </c>
      <c r="L19" s="42">
        <v>350</v>
      </c>
      <c r="M19" s="42">
        <v>0</v>
      </c>
      <c r="N19" s="42"/>
      <c r="O19" s="70">
        <f t="shared" si="5"/>
        <v>1625</v>
      </c>
      <c r="P19" s="50">
        <f>'2025 Budget'!U19</f>
        <v>1050</v>
      </c>
      <c r="Q19" s="82">
        <f t="shared" si="1"/>
        <v>575</v>
      </c>
      <c r="S19" s="201"/>
      <c r="AC19" s="42">
        <v>0</v>
      </c>
      <c r="AD19" s="42">
        <v>1275</v>
      </c>
      <c r="AE19" s="239">
        <f>AD19-AC19</f>
        <v>1275</v>
      </c>
    </row>
    <row r="20" spans="1:31" ht="13.5" customHeight="1" x14ac:dyDescent="0.3">
      <c r="A20" s="39"/>
      <c r="B20" s="39"/>
      <c r="C20" s="39"/>
      <c r="D20" s="32" t="s">
        <v>141</v>
      </c>
      <c r="E20" s="33"/>
      <c r="F20" s="39"/>
      <c r="G20" s="39"/>
      <c r="H20" s="33"/>
      <c r="I20" s="74">
        <f>AE20</f>
        <v>125.16</v>
      </c>
      <c r="J20" s="74">
        <v>0</v>
      </c>
      <c r="K20" s="74">
        <f>AC20</f>
        <v>0</v>
      </c>
      <c r="L20" s="206">
        <v>0</v>
      </c>
      <c r="M20" s="206">
        <v>0</v>
      </c>
      <c r="N20" s="206"/>
      <c r="O20" s="207">
        <f t="shared" si="5"/>
        <v>125.16</v>
      </c>
      <c r="P20" s="74">
        <f>'2025 Budget'!U20</f>
        <v>131.04</v>
      </c>
      <c r="Q20" s="208">
        <f t="shared" si="1"/>
        <v>-5.8799999999999955</v>
      </c>
      <c r="S20" s="201"/>
      <c r="AC20" s="206">
        <v>0</v>
      </c>
      <c r="AD20" s="260">
        <f>125+0.16</f>
        <v>125.16</v>
      </c>
      <c r="AE20" s="239">
        <f>AD20-AC20</f>
        <v>125.16</v>
      </c>
    </row>
    <row r="21" spans="1:31" ht="8.25" customHeight="1" x14ac:dyDescent="0.3">
      <c r="A21" s="39"/>
      <c r="B21" s="39"/>
      <c r="C21" s="39"/>
      <c r="D21" s="39"/>
      <c r="E21" s="33"/>
      <c r="F21" s="39"/>
      <c r="G21" s="39"/>
      <c r="H21" s="33"/>
      <c r="I21" s="42"/>
      <c r="J21" s="100"/>
      <c r="K21" s="42"/>
      <c r="L21" s="42"/>
      <c r="M21" s="42"/>
      <c r="N21" s="42"/>
      <c r="O21" s="70"/>
      <c r="P21" s="50"/>
      <c r="Q21" s="82"/>
      <c r="S21" s="201"/>
      <c r="AC21" s="42"/>
      <c r="AD21" s="42"/>
      <c r="AE21" s="42"/>
    </row>
    <row r="22" spans="1:31" ht="13.5" customHeight="1" x14ac:dyDescent="0.3">
      <c r="A22" s="39"/>
      <c r="B22" s="39"/>
      <c r="C22" s="40" t="s">
        <v>122</v>
      </c>
      <c r="D22" s="39"/>
      <c r="E22" s="33"/>
      <c r="F22" s="39"/>
      <c r="G22" s="39"/>
      <c r="H22" s="33"/>
      <c r="I22" s="44">
        <f>SUM(I17:I21)+I15</f>
        <v>118495.51999999999</v>
      </c>
      <c r="J22" s="268">
        <f>SUM(J17:J21)+J15</f>
        <v>0</v>
      </c>
      <c r="K22" s="44">
        <f>SUM(K17:K21)+K15</f>
        <v>13493.919999999998</v>
      </c>
      <c r="L22" s="44">
        <f>SUM(L17:L21)+L15</f>
        <v>8578.4059203333327</v>
      </c>
      <c r="M22" s="44">
        <f>SUM(M17:M21)+M15</f>
        <v>9149.7257463896567</v>
      </c>
      <c r="N22" s="44"/>
      <c r="O22" s="72">
        <f>SUM(O17:O21)+O15</f>
        <v>149717.57166672297</v>
      </c>
      <c r="P22" s="44">
        <f>SUM(P17:P21)+P15</f>
        <v>146239.81147435569</v>
      </c>
      <c r="Q22" s="84">
        <f>SUM(Q17:Q21)+Q15</f>
        <v>3477.7601923672692</v>
      </c>
      <c r="R22" s="54"/>
      <c r="S22" s="100">
        <f>O22-P22</f>
        <v>3477.7601923672773</v>
      </c>
      <c r="AC22" s="44">
        <f>SUM(AC17:AC21)+AC15</f>
        <v>13493.919999999998</v>
      </c>
      <c r="AD22" s="44">
        <f>SUM(AD17:AD21)+AD15</f>
        <v>131989.44</v>
      </c>
      <c r="AE22" s="44">
        <f>SUM(AE17:AE21)+AE15</f>
        <v>118495.51999999999</v>
      </c>
    </row>
    <row r="23" spans="1:31" ht="13.5" customHeight="1" x14ac:dyDescent="0.3">
      <c r="A23" s="39"/>
      <c r="B23" s="39"/>
      <c r="C23" s="39"/>
      <c r="D23" s="39"/>
      <c r="E23" s="33"/>
      <c r="F23" s="39"/>
      <c r="G23" s="39"/>
      <c r="H23" s="33"/>
      <c r="I23" s="42"/>
      <c r="J23" s="100"/>
      <c r="K23" s="42"/>
      <c r="L23" s="42"/>
      <c r="M23" s="42"/>
      <c r="N23" s="42"/>
      <c r="O23" s="70"/>
      <c r="P23" s="50"/>
      <c r="Q23" s="82"/>
      <c r="S23" s="201"/>
      <c r="AC23" s="42"/>
      <c r="AD23" s="42"/>
      <c r="AE23" s="42"/>
    </row>
    <row r="24" spans="1:31" ht="13.5" customHeight="1" x14ac:dyDescent="0.3">
      <c r="A24" s="39"/>
      <c r="B24" s="39"/>
      <c r="C24" s="40" t="s">
        <v>120</v>
      </c>
      <c r="D24" s="39"/>
      <c r="E24" s="39"/>
      <c r="F24" s="39"/>
      <c r="G24" s="33"/>
      <c r="H24" s="33"/>
      <c r="I24" s="46"/>
      <c r="J24" s="100"/>
      <c r="K24" s="100"/>
      <c r="L24" s="46"/>
      <c r="M24" s="46"/>
      <c r="N24" s="46"/>
      <c r="O24" s="70"/>
      <c r="P24" s="50"/>
      <c r="Q24" s="82"/>
      <c r="S24" s="201"/>
      <c r="AC24" s="100"/>
      <c r="AD24" s="46"/>
      <c r="AE24" s="100"/>
    </row>
    <row r="25" spans="1:31" ht="13.5" customHeight="1" x14ac:dyDescent="0.3">
      <c r="A25" s="39"/>
      <c r="B25" s="39"/>
      <c r="C25" s="40"/>
      <c r="D25" s="45" t="s">
        <v>112</v>
      </c>
      <c r="E25" s="39"/>
      <c r="F25" s="39"/>
      <c r="G25" s="33"/>
      <c r="H25" s="37"/>
      <c r="I25" s="50">
        <f t="shared" ref="I25:I36" si="6">AE25</f>
        <v>0</v>
      </c>
      <c r="J25" s="50">
        <v>0</v>
      </c>
      <c r="K25" s="50">
        <f t="shared" ref="K25:K36" si="7">AC25</f>
        <v>0</v>
      </c>
      <c r="L25" s="42">
        <v>0</v>
      </c>
      <c r="M25" s="46">
        <v>0</v>
      </c>
      <c r="N25" s="46"/>
      <c r="O25" s="70">
        <f>SUM(I25:N25)</f>
        <v>0</v>
      </c>
      <c r="P25" s="50">
        <f>'2025 Budget'!U25</f>
        <v>0</v>
      </c>
      <c r="Q25" s="82">
        <f>P25-O25</f>
        <v>0</v>
      </c>
      <c r="S25" s="201"/>
      <c r="AC25" s="42">
        <v>0</v>
      </c>
      <c r="AD25" s="42">
        <v>0</v>
      </c>
      <c r="AE25" s="239">
        <f t="shared" ref="AE25:AE36" si="8">AD25-AC25</f>
        <v>0</v>
      </c>
    </row>
    <row r="26" spans="1:31" ht="13.5" customHeight="1" x14ac:dyDescent="0.3">
      <c r="A26" s="39"/>
      <c r="B26" s="39"/>
      <c r="C26" s="39"/>
      <c r="D26" s="45" t="s">
        <v>78</v>
      </c>
      <c r="E26" s="39"/>
      <c r="F26" s="39"/>
      <c r="G26" s="33"/>
      <c r="H26" s="33"/>
      <c r="I26" s="50">
        <f t="shared" si="6"/>
        <v>5321.9</v>
      </c>
      <c r="J26" s="50">
        <v>0</v>
      </c>
      <c r="K26" s="50">
        <f t="shared" si="7"/>
        <v>442</v>
      </c>
      <c r="L26" s="42">
        <v>442</v>
      </c>
      <c r="M26" s="42">
        <v>442</v>
      </c>
      <c r="N26" s="42"/>
      <c r="O26" s="70">
        <f>SUM(I26:N26)</f>
        <v>6647.9</v>
      </c>
      <c r="P26" s="50">
        <f>'2025 Budget'!U26</f>
        <v>6284</v>
      </c>
      <c r="Q26" s="82">
        <f>P26-O26</f>
        <v>-363.89999999999964</v>
      </c>
      <c r="S26" s="201"/>
      <c r="AC26" s="42">
        <v>442</v>
      </c>
      <c r="AD26" s="42">
        <v>5763.9</v>
      </c>
      <c r="AE26" s="239">
        <f t="shared" si="8"/>
        <v>5321.9</v>
      </c>
    </row>
    <row r="27" spans="1:31" ht="13.5" customHeight="1" x14ac:dyDescent="0.3">
      <c r="A27" s="39"/>
      <c r="B27" s="39"/>
      <c r="C27" s="39"/>
      <c r="D27" s="48" t="s">
        <v>99</v>
      </c>
      <c r="E27" s="39"/>
      <c r="F27" s="39"/>
      <c r="G27" s="33"/>
      <c r="H27" s="33"/>
      <c r="I27" s="50">
        <f t="shared" si="6"/>
        <v>315</v>
      </c>
      <c r="J27" s="50">
        <v>0</v>
      </c>
      <c r="K27" s="50">
        <f t="shared" si="7"/>
        <v>0</v>
      </c>
      <c r="L27" s="42">
        <v>0</v>
      </c>
      <c r="M27" s="42">
        <f>250+100</f>
        <v>350</v>
      </c>
      <c r="N27" s="42"/>
      <c r="O27" s="70">
        <f t="shared" ref="O27:O36" si="9">SUM(I27:N27)</f>
        <v>665</v>
      </c>
      <c r="P27" s="50">
        <f>'2025 Budget'!U27</f>
        <v>335</v>
      </c>
      <c r="Q27" s="82">
        <f t="shared" ref="Q27:Q36" si="10">P27-O27</f>
        <v>-330</v>
      </c>
      <c r="S27" s="201"/>
      <c r="AC27" s="42">
        <v>0</v>
      </c>
      <c r="AD27" s="42">
        <v>315</v>
      </c>
      <c r="AE27" s="239">
        <f t="shared" si="8"/>
        <v>315</v>
      </c>
    </row>
    <row r="28" spans="1:31" ht="13.5" customHeight="1" x14ac:dyDescent="0.3">
      <c r="A28" s="39"/>
      <c r="B28" s="39"/>
      <c r="C28" s="39"/>
      <c r="D28" s="45" t="s">
        <v>4</v>
      </c>
      <c r="E28" s="39"/>
      <c r="F28" s="39"/>
      <c r="G28" s="33"/>
      <c r="H28" s="33"/>
      <c r="I28" s="50">
        <f t="shared" si="6"/>
        <v>7187.56</v>
      </c>
      <c r="J28" s="50">
        <v>0</v>
      </c>
      <c r="K28" s="50">
        <f t="shared" si="7"/>
        <v>434</v>
      </c>
      <c r="L28" s="42">
        <v>0</v>
      </c>
      <c r="M28" s="42">
        <v>0</v>
      </c>
      <c r="N28" s="42"/>
      <c r="O28" s="70">
        <f t="shared" si="9"/>
        <v>7621.56</v>
      </c>
      <c r="P28" s="50">
        <f>'2025 Budget'!U28</f>
        <v>4214.7300000000005</v>
      </c>
      <c r="Q28" s="82">
        <f t="shared" si="10"/>
        <v>-3406.83</v>
      </c>
      <c r="S28" s="201"/>
      <c r="AC28" s="42">
        <v>434</v>
      </c>
      <c r="AD28" s="42">
        <v>7621.56</v>
      </c>
      <c r="AE28" s="239">
        <f t="shared" si="8"/>
        <v>7187.56</v>
      </c>
    </row>
    <row r="29" spans="1:31" ht="13.5" customHeight="1" x14ac:dyDescent="0.3">
      <c r="A29" s="39"/>
      <c r="B29" s="39"/>
      <c r="C29" s="39"/>
      <c r="D29" s="33" t="s">
        <v>113</v>
      </c>
      <c r="E29" s="39"/>
      <c r="F29" s="39"/>
      <c r="G29" s="33"/>
      <c r="H29" s="33"/>
      <c r="I29" s="50">
        <f t="shared" si="6"/>
        <v>3232.41</v>
      </c>
      <c r="J29" s="50">
        <v>0</v>
      </c>
      <c r="K29" s="50">
        <f t="shared" si="7"/>
        <v>116.86</v>
      </c>
      <c r="L29" s="50">
        <f t="shared" ref="L29:M29" si="11">L129</f>
        <v>317.35131185460131</v>
      </c>
      <c r="M29" s="50">
        <f t="shared" si="11"/>
        <v>309.11980474858979</v>
      </c>
      <c r="N29" s="42"/>
      <c r="O29" s="70">
        <f t="shared" si="9"/>
        <v>3975.7411166031907</v>
      </c>
      <c r="P29" s="50">
        <f>'2025 Budget'!U29</f>
        <v>4028.4547246208908</v>
      </c>
      <c r="Q29" s="82">
        <f t="shared" si="10"/>
        <v>52.713608017700153</v>
      </c>
      <c r="S29" s="201"/>
      <c r="AC29" s="42">
        <v>116.86</v>
      </c>
      <c r="AD29" s="42">
        <v>3349.27</v>
      </c>
      <c r="AE29" s="239">
        <f t="shared" si="8"/>
        <v>3232.41</v>
      </c>
    </row>
    <row r="30" spans="1:31" ht="13.5" customHeight="1" x14ac:dyDescent="0.3">
      <c r="A30" s="39"/>
      <c r="B30" s="39"/>
      <c r="C30" s="39"/>
      <c r="D30" s="45" t="s">
        <v>73</v>
      </c>
      <c r="E30" s="39"/>
      <c r="F30" s="39"/>
      <c r="G30" s="33"/>
      <c r="H30" s="33"/>
      <c r="I30" s="50">
        <f t="shared" si="6"/>
        <v>3882.55</v>
      </c>
      <c r="J30" s="50">
        <v>0</v>
      </c>
      <c r="K30" s="50">
        <f t="shared" si="7"/>
        <v>805</v>
      </c>
      <c r="L30" s="42">
        <v>250</v>
      </c>
      <c r="M30" s="42">
        <v>500</v>
      </c>
      <c r="N30" s="42"/>
      <c r="O30" s="70">
        <f t="shared" si="9"/>
        <v>5437.55</v>
      </c>
      <c r="P30" s="50">
        <f>'2025 Budget'!U30</f>
        <v>1300</v>
      </c>
      <c r="Q30" s="82">
        <f t="shared" si="10"/>
        <v>-4137.55</v>
      </c>
      <c r="S30" s="201"/>
      <c r="AC30" s="142">
        <f>630+175</f>
        <v>805</v>
      </c>
      <c r="AD30" s="142">
        <f>4512.55+175</f>
        <v>4687.55</v>
      </c>
      <c r="AE30" s="239">
        <f t="shared" si="8"/>
        <v>3882.55</v>
      </c>
    </row>
    <row r="31" spans="1:31" ht="13.5" customHeight="1" x14ac:dyDescent="0.3">
      <c r="A31" s="39"/>
      <c r="B31" s="39"/>
      <c r="C31" s="39"/>
      <c r="D31" s="45" t="s">
        <v>61</v>
      </c>
      <c r="E31" s="39"/>
      <c r="F31" s="39"/>
      <c r="G31" s="33"/>
      <c r="H31" s="33"/>
      <c r="I31" s="50">
        <f t="shared" si="6"/>
        <v>0</v>
      </c>
      <c r="J31" s="50">
        <v>0</v>
      </c>
      <c r="K31" s="50">
        <f t="shared" si="7"/>
        <v>0</v>
      </c>
      <c r="L31" s="42">
        <v>0</v>
      </c>
      <c r="M31" s="42">
        <v>0</v>
      </c>
      <c r="N31" s="42"/>
      <c r="O31" s="70">
        <f t="shared" si="9"/>
        <v>0</v>
      </c>
      <c r="P31" s="50">
        <f>'2025 Budget'!U31</f>
        <v>0</v>
      </c>
      <c r="Q31" s="82">
        <f t="shared" si="10"/>
        <v>0</v>
      </c>
      <c r="S31" s="201"/>
      <c r="AC31" s="42">
        <v>0</v>
      </c>
      <c r="AD31" s="42">
        <v>0</v>
      </c>
      <c r="AE31" s="239">
        <f t="shared" si="8"/>
        <v>0</v>
      </c>
    </row>
    <row r="32" spans="1:31" ht="13.5" customHeight="1" x14ac:dyDescent="0.3">
      <c r="A32" s="39"/>
      <c r="B32" s="39"/>
      <c r="C32" s="39"/>
      <c r="D32" s="45" t="s">
        <v>145</v>
      </c>
      <c r="E32" s="39"/>
      <c r="F32" s="39"/>
      <c r="G32" s="33"/>
      <c r="H32" s="33"/>
      <c r="I32" s="50">
        <f t="shared" si="6"/>
        <v>47.51</v>
      </c>
      <c r="J32" s="50">
        <v>0</v>
      </c>
      <c r="K32" s="50">
        <f t="shared" si="7"/>
        <v>0</v>
      </c>
      <c r="L32" s="42">
        <f>120*4*0.2</f>
        <v>96</v>
      </c>
      <c r="M32" s="42">
        <v>0</v>
      </c>
      <c r="N32" s="42"/>
      <c r="O32" s="70">
        <f t="shared" si="9"/>
        <v>143.51</v>
      </c>
      <c r="P32" s="50">
        <f>'2025 Budget'!U32</f>
        <v>300</v>
      </c>
      <c r="Q32" s="82">
        <f t="shared" si="10"/>
        <v>156.49</v>
      </c>
      <c r="S32" s="201"/>
      <c r="AC32" s="42">
        <v>0</v>
      </c>
      <c r="AD32" s="42">
        <v>47.51</v>
      </c>
      <c r="AE32" s="239">
        <f t="shared" si="8"/>
        <v>47.51</v>
      </c>
    </row>
    <row r="33" spans="1:34" ht="13.5" customHeight="1" x14ac:dyDescent="0.3">
      <c r="A33" s="39"/>
      <c r="B33" s="39"/>
      <c r="C33" s="39"/>
      <c r="D33" s="45" t="s">
        <v>22</v>
      </c>
      <c r="E33" s="39"/>
      <c r="F33" s="39"/>
      <c r="G33" s="33"/>
      <c r="H33" s="33"/>
      <c r="I33" s="50">
        <f t="shared" si="6"/>
        <v>47.31</v>
      </c>
      <c r="J33" s="50">
        <v>0</v>
      </c>
      <c r="K33" s="50">
        <f t="shared" si="7"/>
        <v>246.61</v>
      </c>
      <c r="L33" s="42">
        <v>0</v>
      </c>
      <c r="M33" s="42">
        <v>0</v>
      </c>
      <c r="N33" s="42"/>
      <c r="O33" s="70">
        <f t="shared" si="9"/>
        <v>293.92</v>
      </c>
      <c r="P33" s="50">
        <f>'2025 Budget'!U33</f>
        <v>240</v>
      </c>
      <c r="Q33" s="82">
        <f t="shared" si="10"/>
        <v>-53.920000000000016</v>
      </c>
      <c r="S33" s="201"/>
      <c r="AC33" s="42">
        <v>246.61</v>
      </c>
      <c r="AD33" s="42">
        <v>293.92</v>
      </c>
      <c r="AE33" s="239">
        <f t="shared" si="8"/>
        <v>47.31</v>
      </c>
    </row>
    <row r="34" spans="1:34" ht="13.5" customHeight="1" x14ac:dyDescent="0.3">
      <c r="A34" s="39"/>
      <c r="B34" s="39"/>
      <c r="C34" s="39"/>
      <c r="D34" s="45" t="s">
        <v>23</v>
      </c>
      <c r="E34" s="39"/>
      <c r="F34" s="39"/>
      <c r="G34" s="33"/>
      <c r="H34" s="33"/>
      <c r="I34" s="50">
        <f t="shared" si="6"/>
        <v>8200</v>
      </c>
      <c r="J34" s="50">
        <v>0</v>
      </c>
      <c r="K34" s="50">
        <f t="shared" si="7"/>
        <v>900</v>
      </c>
      <c r="L34" s="50">
        <f>'Security Patrol'!R7</f>
        <v>600</v>
      </c>
      <c r="M34" s="50">
        <f>'Security Patrol'!S7</f>
        <v>600</v>
      </c>
      <c r="N34" s="42"/>
      <c r="O34" s="70">
        <f t="shared" si="9"/>
        <v>10300</v>
      </c>
      <c r="P34" s="50">
        <f>'2025 Budget'!U34</f>
        <v>9000</v>
      </c>
      <c r="Q34" s="82">
        <f t="shared" si="10"/>
        <v>-1300</v>
      </c>
      <c r="S34" s="201"/>
      <c r="AC34" s="42">
        <v>900</v>
      </c>
      <c r="AD34" s="42">
        <v>9100</v>
      </c>
      <c r="AE34" s="239">
        <f t="shared" si="8"/>
        <v>8200</v>
      </c>
    </row>
    <row r="35" spans="1:34" ht="13.5" customHeight="1" x14ac:dyDescent="0.3">
      <c r="A35" s="39"/>
      <c r="B35" s="39"/>
      <c r="C35" s="39"/>
      <c r="D35" s="33" t="s">
        <v>79</v>
      </c>
      <c r="E35" s="39"/>
      <c r="F35" s="39"/>
      <c r="G35" s="33"/>
      <c r="H35" s="33"/>
      <c r="I35" s="50">
        <f t="shared" si="6"/>
        <v>637.39</v>
      </c>
      <c r="J35" s="50">
        <v>0</v>
      </c>
      <c r="K35" s="50">
        <f t="shared" si="7"/>
        <v>0</v>
      </c>
      <c r="L35" s="42">
        <v>50</v>
      </c>
      <c r="M35" s="42">
        <v>150</v>
      </c>
      <c r="N35" s="42"/>
      <c r="O35" s="70">
        <f t="shared" si="9"/>
        <v>837.39</v>
      </c>
      <c r="P35" s="50">
        <f>'2025 Budget'!U35</f>
        <v>700</v>
      </c>
      <c r="Q35" s="82">
        <f t="shared" si="10"/>
        <v>-137.38999999999999</v>
      </c>
      <c r="S35" s="201"/>
      <c r="AC35" s="42">
        <v>0</v>
      </c>
      <c r="AD35" s="42">
        <v>637.39</v>
      </c>
      <c r="AE35" s="239">
        <f t="shared" si="8"/>
        <v>637.39</v>
      </c>
    </row>
    <row r="36" spans="1:34" ht="13.5" customHeight="1" x14ac:dyDescent="0.3">
      <c r="A36" s="39"/>
      <c r="B36" s="39"/>
      <c r="C36" s="39"/>
      <c r="D36" s="136" t="s">
        <v>215</v>
      </c>
      <c r="E36" s="39"/>
      <c r="F36" s="39"/>
      <c r="G36" s="33"/>
      <c r="H36" s="33"/>
      <c r="I36" s="74">
        <f t="shared" si="6"/>
        <v>438.03</v>
      </c>
      <c r="J36" s="74">
        <v>0</v>
      </c>
      <c r="K36" s="74">
        <f t="shared" si="7"/>
        <v>48.67</v>
      </c>
      <c r="L36" s="206">
        <v>48.67</v>
      </c>
      <c r="M36" s="74">
        <f>L36</f>
        <v>48.67</v>
      </c>
      <c r="N36" s="206"/>
      <c r="O36" s="207">
        <f t="shared" si="9"/>
        <v>584.04</v>
      </c>
      <c r="P36" s="74">
        <f>'2025 Budget'!U36</f>
        <v>552</v>
      </c>
      <c r="Q36" s="208">
        <f t="shared" si="10"/>
        <v>-32.039999999999964</v>
      </c>
      <c r="S36" s="201"/>
      <c r="AC36" s="206">
        <v>48.67</v>
      </c>
      <c r="AD36" s="206">
        <v>486.7</v>
      </c>
      <c r="AE36" s="239">
        <f t="shared" si="8"/>
        <v>438.03</v>
      </c>
    </row>
    <row r="37" spans="1:34" ht="6" customHeight="1" x14ac:dyDescent="0.3">
      <c r="A37" s="39"/>
      <c r="B37" s="39"/>
      <c r="C37" s="40"/>
      <c r="D37" s="45"/>
      <c r="E37" s="39"/>
      <c r="F37" s="39"/>
      <c r="G37" s="33"/>
      <c r="H37" s="33"/>
      <c r="I37" s="42"/>
      <c r="J37" s="100"/>
      <c r="K37" s="42"/>
      <c r="L37" s="42"/>
      <c r="M37" s="42"/>
      <c r="N37" s="42"/>
      <c r="O37" s="70"/>
      <c r="P37" s="50"/>
      <c r="Q37" s="82"/>
      <c r="S37" s="201"/>
      <c r="AC37" s="42"/>
      <c r="AD37" s="42"/>
      <c r="AE37" s="42"/>
    </row>
    <row r="38" spans="1:34" ht="13.5" customHeight="1" x14ac:dyDescent="0.3">
      <c r="A38" s="39"/>
      <c r="B38" s="39"/>
      <c r="C38" s="40" t="s">
        <v>121</v>
      </c>
      <c r="D38" s="45"/>
      <c r="E38" s="39"/>
      <c r="F38" s="39"/>
      <c r="G38" s="33"/>
      <c r="H38" s="369"/>
      <c r="I38" s="44">
        <f>SUM(I25:I37)</f>
        <v>29309.659999999996</v>
      </c>
      <c r="J38" s="268">
        <f>SUM(J25:J37)</f>
        <v>0</v>
      </c>
      <c r="K38" s="44">
        <f>SUM(K25:K37)</f>
        <v>2993.1400000000003</v>
      </c>
      <c r="L38" s="44">
        <f>SUM(L25:L37)</f>
        <v>1804.0213118546014</v>
      </c>
      <c r="M38" s="44">
        <f>SUM(M25:M37)</f>
        <v>2399.7898047485896</v>
      </c>
      <c r="N38" s="209"/>
      <c r="O38" s="72">
        <f>SUM(O25:O37)</f>
        <v>36506.611116603184</v>
      </c>
      <c r="P38" s="44">
        <f>SUM(P25:P37)</f>
        <v>26954.184724620893</v>
      </c>
      <c r="Q38" s="84">
        <f>SUM(Q25:Q37)</f>
        <v>-9552.4263919822988</v>
      </c>
      <c r="S38" s="100">
        <f>P38-O38</f>
        <v>-9552.4263919822915</v>
      </c>
      <c r="AC38" s="44">
        <f>SUM(AC25:AC37)</f>
        <v>2993.1400000000003</v>
      </c>
      <c r="AD38" s="44">
        <f>SUM(AD25:AD37)</f>
        <v>32302.799999999996</v>
      </c>
      <c r="AE38" s="44">
        <f>SUM(AE25:AE37)</f>
        <v>29309.659999999996</v>
      </c>
      <c r="AG38" s="42">
        <v>730.88</v>
      </c>
      <c r="AH38" s="54">
        <f>AG38+AD38</f>
        <v>33033.679999999993</v>
      </c>
    </row>
    <row r="39" spans="1:34" ht="13.5" customHeight="1" x14ac:dyDescent="0.3">
      <c r="A39" s="39"/>
      <c r="B39" s="39"/>
      <c r="C39" s="40"/>
      <c r="D39" s="45"/>
      <c r="E39" s="39"/>
      <c r="F39" s="39"/>
      <c r="G39" s="33"/>
      <c r="H39" s="33"/>
      <c r="I39" s="369"/>
      <c r="J39" s="100"/>
      <c r="K39" s="42"/>
      <c r="L39" s="42"/>
      <c r="M39" s="42"/>
      <c r="N39" s="42"/>
      <c r="O39" s="70"/>
      <c r="P39" s="50"/>
      <c r="Q39" s="82"/>
      <c r="S39" s="201"/>
      <c r="V39" s="382"/>
      <c r="AC39" s="42"/>
      <c r="AD39" s="369"/>
      <c r="AE39" s="42"/>
    </row>
    <row r="40" spans="1:34" ht="13.5" customHeight="1" x14ac:dyDescent="0.3">
      <c r="A40" s="39"/>
      <c r="B40" s="39"/>
      <c r="C40" s="47" t="s">
        <v>5</v>
      </c>
      <c r="D40" s="45"/>
      <c r="E40" s="39"/>
      <c r="F40" s="39"/>
      <c r="G40" s="33"/>
      <c r="H40" s="33"/>
      <c r="I40" s="42"/>
      <c r="J40" s="100"/>
      <c r="K40" s="42"/>
      <c r="L40" s="42"/>
      <c r="M40" s="42"/>
      <c r="N40" s="42"/>
      <c r="O40" s="70"/>
      <c r="P40" s="50"/>
      <c r="Q40" s="82"/>
      <c r="S40" s="201"/>
      <c r="AC40" s="42"/>
      <c r="AD40" s="42"/>
      <c r="AE40" s="42"/>
    </row>
    <row r="41" spans="1:34" ht="13.5" customHeight="1" x14ac:dyDescent="0.3">
      <c r="A41" s="39"/>
      <c r="B41" s="39"/>
      <c r="C41" s="40"/>
      <c r="D41" s="45" t="s">
        <v>6</v>
      </c>
      <c r="E41" s="39"/>
      <c r="F41" s="39"/>
      <c r="G41" s="33"/>
      <c r="H41" s="33"/>
      <c r="I41" s="50">
        <f t="shared" ref="I41:I47" si="12">AE41</f>
        <v>1362.5</v>
      </c>
      <c r="J41" s="50">
        <v>0</v>
      </c>
      <c r="K41" s="50">
        <f t="shared" ref="K41:K47" si="13">AC41</f>
        <v>2842.5</v>
      </c>
      <c r="L41" s="42">
        <v>0</v>
      </c>
      <c r="M41" s="42">
        <v>0</v>
      </c>
      <c r="N41" s="42"/>
      <c r="O41" s="70">
        <f t="shared" ref="O41:O47" si="14">SUM(I41:N41)</f>
        <v>4205</v>
      </c>
      <c r="P41" s="50">
        <f>'2025 Budget'!U41</f>
        <v>2000</v>
      </c>
      <c r="Q41" s="82">
        <f t="shared" ref="Q41:Q47" si="15">P41-O41</f>
        <v>-2205</v>
      </c>
      <c r="S41" s="201"/>
      <c r="AC41" s="42">
        <v>2842.5</v>
      </c>
      <c r="AD41" s="42">
        <v>4205</v>
      </c>
      <c r="AE41" s="239">
        <f t="shared" ref="AE41:AE47" si="16">AD41-AC41</f>
        <v>1362.5</v>
      </c>
    </row>
    <row r="42" spans="1:34" ht="13.5" customHeight="1" x14ac:dyDescent="0.3">
      <c r="A42" s="39"/>
      <c r="B42" s="39"/>
      <c r="C42" s="40"/>
      <c r="D42" s="45" t="s">
        <v>65</v>
      </c>
      <c r="E42" s="39"/>
      <c r="F42" s="39"/>
      <c r="G42" s="33"/>
      <c r="H42" s="33"/>
      <c r="I42" s="50">
        <f t="shared" si="12"/>
        <v>5751</v>
      </c>
      <c r="J42" s="50">
        <v>0</v>
      </c>
      <c r="K42" s="50">
        <f t="shared" si="13"/>
        <v>350</v>
      </c>
      <c r="L42" s="42">
        <v>0</v>
      </c>
      <c r="M42" s="42">
        <v>0</v>
      </c>
      <c r="N42" s="42"/>
      <c r="O42" s="70">
        <f t="shared" si="14"/>
        <v>6101</v>
      </c>
      <c r="P42" s="50">
        <f>'2025 Budget'!U42</f>
        <v>1500</v>
      </c>
      <c r="Q42" s="82">
        <f t="shared" si="15"/>
        <v>-4601</v>
      </c>
      <c r="S42" s="201"/>
      <c r="AC42" s="42">
        <v>350</v>
      </c>
      <c r="AD42" s="42">
        <v>6101</v>
      </c>
      <c r="AE42" s="239">
        <f t="shared" si="16"/>
        <v>5751</v>
      </c>
    </row>
    <row r="43" spans="1:34" ht="13.5" customHeight="1" x14ac:dyDescent="0.3">
      <c r="A43" s="39"/>
      <c r="B43" s="39"/>
      <c r="C43" s="40"/>
      <c r="D43" s="45" t="s">
        <v>100</v>
      </c>
      <c r="E43" s="39"/>
      <c r="F43" s="39"/>
      <c r="G43" s="33"/>
      <c r="H43" s="33"/>
      <c r="I43" s="50">
        <f t="shared" si="12"/>
        <v>0</v>
      </c>
      <c r="J43" s="50">
        <v>0</v>
      </c>
      <c r="K43" s="50">
        <f t="shared" si="13"/>
        <v>0</v>
      </c>
      <c r="L43" s="42">
        <v>350</v>
      </c>
      <c r="M43" s="42">
        <v>0</v>
      </c>
      <c r="N43" s="42"/>
      <c r="O43" s="70">
        <f t="shared" si="14"/>
        <v>350</v>
      </c>
      <c r="P43" s="50">
        <f>'2025 Budget'!U43</f>
        <v>750</v>
      </c>
      <c r="Q43" s="82">
        <f t="shared" si="15"/>
        <v>400</v>
      </c>
      <c r="S43" s="201"/>
      <c r="AC43" s="42">
        <v>0</v>
      </c>
      <c r="AD43" s="42">
        <v>0</v>
      </c>
      <c r="AE43" s="239">
        <f t="shared" si="16"/>
        <v>0</v>
      </c>
    </row>
    <row r="44" spans="1:34" ht="13.5" customHeight="1" x14ac:dyDescent="0.3">
      <c r="A44" s="39"/>
      <c r="B44" s="39"/>
      <c r="C44" s="40"/>
      <c r="D44" s="45" t="s">
        <v>167</v>
      </c>
      <c r="E44" s="39"/>
      <c r="F44" s="39"/>
      <c r="G44" s="33"/>
      <c r="H44" s="33"/>
      <c r="I44" s="50">
        <f t="shared" si="12"/>
        <v>1365.46</v>
      </c>
      <c r="J44" s="50">
        <v>0</v>
      </c>
      <c r="K44" s="50">
        <f t="shared" si="13"/>
        <v>0</v>
      </c>
      <c r="L44" s="42">
        <v>500</v>
      </c>
      <c r="M44" s="42">
        <v>0</v>
      </c>
      <c r="N44" s="42"/>
      <c r="O44" s="70">
        <f t="shared" si="14"/>
        <v>1865.46</v>
      </c>
      <c r="P44" s="50">
        <f>'2025 Budget'!U44</f>
        <v>2500</v>
      </c>
      <c r="Q44" s="82">
        <f t="shared" si="15"/>
        <v>634.54</v>
      </c>
      <c r="S44" s="201"/>
      <c r="AC44" s="42">
        <v>0</v>
      </c>
      <c r="AD44" s="42">
        <v>1365.46</v>
      </c>
      <c r="AE44" s="239">
        <f t="shared" si="16"/>
        <v>1365.46</v>
      </c>
    </row>
    <row r="45" spans="1:34" ht="13.5" customHeight="1" x14ac:dyDescent="0.3">
      <c r="A45" s="39"/>
      <c r="B45" s="39"/>
      <c r="C45" s="40"/>
      <c r="D45" s="45" t="s">
        <v>114</v>
      </c>
      <c r="E45" s="39"/>
      <c r="F45" s="39"/>
      <c r="G45" s="33"/>
      <c r="H45" s="33"/>
      <c r="I45" s="50">
        <f t="shared" si="12"/>
        <v>1132.26</v>
      </c>
      <c r="J45" s="50">
        <v>0</v>
      </c>
      <c r="K45" s="50">
        <f t="shared" si="13"/>
        <v>0</v>
      </c>
      <c r="L45" s="42">
        <v>0</v>
      </c>
      <c r="M45" s="42">
        <v>0</v>
      </c>
      <c r="N45" s="42"/>
      <c r="O45" s="70">
        <f t="shared" si="14"/>
        <v>1132.26</v>
      </c>
      <c r="P45" s="50">
        <f>'2025 Budget'!U45</f>
        <v>450</v>
      </c>
      <c r="Q45" s="82">
        <f t="shared" si="15"/>
        <v>-682.26</v>
      </c>
      <c r="S45" s="201"/>
      <c r="AC45" s="42">
        <v>0</v>
      </c>
      <c r="AD45" s="42">
        <v>1132.26</v>
      </c>
      <c r="AE45" s="239">
        <f t="shared" si="16"/>
        <v>1132.26</v>
      </c>
    </row>
    <row r="46" spans="1:34" ht="13.5" customHeight="1" x14ac:dyDescent="0.3">
      <c r="A46" s="39"/>
      <c r="B46" s="39"/>
      <c r="C46" s="40"/>
      <c r="D46" s="45" t="s">
        <v>225</v>
      </c>
      <c r="E46" s="39"/>
      <c r="F46" s="39"/>
      <c r="G46" s="33"/>
      <c r="H46" s="33"/>
      <c r="I46" s="50">
        <f t="shared" si="12"/>
        <v>195</v>
      </c>
      <c r="J46" s="50">
        <v>0</v>
      </c>
      <c r="K46" s="50">
        <f t="shared" si="13"/>
        <v>0</v>
      </c>
      <c r="L46" s="42">
        <v>0</v>
      </c>
      <c r="M46" s="42">
        <v>0</v>
      </c>
      <c r="N46" s="42"/>
      <c r="O46" s="70">
        <f t="shared" ref="O46" si="17">SUM(I46:N46)</f>
        <v>195</v>
      </c>
      <c r="P46" s="42">
        <v>0</v>
      </c>
      <c r="Q46" s="82">
        <f t="shared" ref="Q46" si="18">P46-O46</f>
        <v>-195</v>
      </c>
      <c r="S46" s="201"/>
      <c r="AC46" s="42">
        <v>0</v>
      </c>
      <c r="AD46" s="42">
        <v>195</v>
      </c>
      <c r="AE46" s="239">
        <f t="shared" si="16"/>
        <v>195</v>
      </c>
    </row>
    <row r="47" spans="1:34" ht="13.5" customHeight="1" x14ac:dyDescent="0.3">
      <c r="A47" s="39"/>
      <c r="B47" s="39"/>
      <c r="C47" s="40"/>
      <c r="D47" s="45" t="s">
        <v>143</v>
      </c>
      <c r="E47" s="39"/>
      <c r="F47" s="39"/>
      <c r="G47" s="33"/>
      <c r="H47" s="33"/>
      <c r="I47" s="74">
        <f t="shared" si="12"/>
        <v>0</v>
      </c>
      <c r="J47" s="74">
        <v>0</v>
      </c>
      <c r="K47" s="74">
        <f t="shared" si="13"/>
        <v>0</v>
      </c>
      <c r="L47" s="206">
        <v>0</v>
      </c>
      <c r="M47" s="206">
        <v>150</v>
      </c>
      <c r="N47" s="206"/>
      <c r="O47" s="207">
        <f t="shared" si="14"/>
        <v>150</v>
      </c>
      <c r="P47" s="74">
        <f>'2025 Budget'!U46</f>
        <v>1250</v>
      </c>
      <c r="Q47" s="208">
        <f t="shared" si="15"/>
        <v>1100</v>
      </c>
      <c r="S47" s="201"/>
      <c r="AC47" s="206">
        <v>0</v>
      </c>
      <c r="AD47" s="206">
        <v>0</v>
      </c>
      <c r="AE47" s="239">
        <f t="shared" si="16"/>
        <v>0</v>
      </c>
    </row>
    <row r="48" spans="1:34" ht="6.75" customHeight="1" x14ac:dyDescent="0.3">
      <c r="A48" s="39"/>
      <c r="B48" s="39"/>
      <c r="C48" s="40"/>
      <c r="D48" s="45"/>
      <c r="E48" s="39"/>
      <c r="F48" s="39"/>
      <c r="G48" s="33"/>
      <c r="H48" s="33"/>
      <c r="I48" s="42"/>
      <c r="J48" s="100"/>
      <c r="K48" s="42"/>
      <c r="L48" s="42"/>
      <c r="M48" s="42"/>
      <c r="N48" s="42"/>
      <c r="O48" s="70"/>
      <c r="P48" s="50"/>
      <c r="Q48" s="82"/>
      <c r="S48" s="201"/>
      <c r="AC48" s="42"/>
      <c r="AD48" s="42"/>
      <c r="AE48" s="42"/>
    </row>
    <row r="49" spans="1:31" ht="13.5" customHeight="1" x14ac:dyDescent="0.3">
      <c r="A49" s="39"/>
      <c r="B49" s="39"/>
      <c r="C49" s="40" t="s">
        <v>115</v>
      </c>
      <c r="D49" s="45"/>
      <c r="E49" s="39"/>
      <c r="F49" s="39"/>
      <c r="G49" s="33"/>
      <c r="H49" s="33"/>
      <c r="I49" s="44">
        <f>SUM(I41:I48)</f>
        <v>9806.2199999999993</v>
      </c>
      <c r="J49" s="268">
        <f>SUM(J41:J48)</f>
        <v>0</v>
      </c>
      <c r="K49" s="44">
        <f>SUM(K41:K48)</f>
        <v>3192.5</v>
      </c>
      <c r="L49" s="44">
        <f>SUM(L41:L48)</f>
        <v>850</v>
      </c>
      <c r="M49" s="44">
        <f>SUM(M41:M48)</f>
        <v>150</v>
      </c>
      <c r="N49" s="44"/>
      <c r="O49" s="72">
        <f>SUM(O41:O48)</f>
        <v>13998.72</v>
      </c>
      <c r="P49" s="44">
        <f>SUM(P41:P48)</f>
        <v>8450</v>
      </c>
      <c r="Q49" s="84">
        <f>SUM(Q41:Q48)</f>
        <v>-5548.72</v>
      </c>
      <c r="S49" s="100">
        <f>P49-O49</f>
        <v>-5548.7199999999993</v>
      </c>
      <c r="AC49" s="44">
        <f>SUM(AC41:AC48)</f>
        <v>3192.5</v>
      </c>
      <c r="AD49" s="44">
        <f>SUM(AD41:AD48)</f>
        <v>12998.72</v>
      </c>
      <c r="AE49" s="44">
        <f>SUM(AE41:AE48)</f>
        <v>9806.2199999999993</v>
      </c>
    </row>
    <row r="50" spans="1:31" ht="13.5" customHeight="1" x14ac:dyDescent="0.3">
      <c r="A50" s="39"/>
      <c r="B50" s="39"/>
      <c r="C50" s="40"/>
      <c r="D50" s="45"/>
      <c r="E50" s="39"/>
      <c r="F50" s="39"/>
      <c r="G50" s="33"/>
      <c r="H50" s="33"/>
      <c r="I50" s="42"/>
      <c r="J50" s="100"/>
      <c r="K50" s="42"/>
      <c r="L50" s="42"/>
      <c r="M50" s="42"/>
      <c r="N50" s="42"/>
      <c r="O50" s="70"/>
      <c r="P50" s="50"/>
      <c r="Q50" s="82"/>
      <c r="S50" s="201"/>
      <c r="AC50" s="42"/>
      <c r="AD50" s="42"/>
      <c r="AE50" s="42"/>
    </row>
    <row r="51" spans="1:31" ht="13.5" customHeight="1" x14ac:dyDescent="0.3">
      <c r="A51" s="39"/>
      <c r="B51" s="39"/>
      <c r="C51" s="51" t="s">
        <v>7</v>
      </c>
      <c r="D51" s="45"/>
      <c r="E51" s="39"/>
      <c r="F51" s="39"/>
      <c r="G51" s="33"/>
      <c r="H51" s="33"/>
      <c r="I51" s="42"/>
      <c r="J51" s="100"/>
      <c r="K51" s="42"/>
      <c r="L51" s="42"/>
      <c r="M51" s="42"/>
      <c r="N51" s="42"/>
      <c r="O51" s="70"/>
      <c r="P51" s="50"/>
      <c r="Q51" s="82"/>
      <c r="S51" s="201"/>
      <c r="AC51" s="42"/>
      <c r="AD51" s="42"/>
      <c r="AE51" s="42"/>
    </row>
    <row r="52" spans="1:31" ht="13.5" customHeight="1" x14ac:dyDescent="0.3">
      <c r="A52" s="39"/>
      <c r="B52" s="39"/>
      <c r="C52" s="45"/>
      <c r="D52" s="45" t="s">
        <v>59</v>
      </c>
      <c r="E52" s="39"/>
      <c r="F52" s="39"/>
      <c r="G52" s="33"/>
      <c r="H52" s="33"/>
      <c r="I52" s="50">
        <f t="shared" ref="I52:I59" si="19">AE52</f>
        <v>0</v>
      </c>
      <c r="J52" s="50">
        <v>0</v>
      </c>
      <c r="K52" s="50">
        <f t="shared" ref="K52:K59" si="20">AC52</f>
        <v>0</v>
      </c>
      <c r="L52" s="42">
        <v>0</v>
      </c>
      <c r="M52" s="42">
        <v>0</v>
      </c>
      <c r="N52" s="42"/>
      <c r="O52" s="70">
        <f t="shared" ref="O52:O59" si="21">SUM(I52:N52)</f>
        <v>0</v>
      </c>
      <c r="P52" s="50">
        <f>'2025 Budget'!U51</f>
        <v>350</v>
      </c>
      <c r="Q52" s="82">
        <f t="shared" ref="Q52:Q59" si="22">P52-O52</f>
        <v>350</v>
      </c>
      <c r="S52" s="201"/>
      <c r="AC52" s="42">
        <v>0</v>
      </c>
      <c r="AD52" s="42">
        <v>0</v>
      </c>
      <c r="AE52" s="239">
        <f t="shared" ref="AE52:AE59" si="23">AD52-AC52</f>
        <v>0</v>
      </c>
    </row>
    <row r="53" spans="1:31" ht="13.5" customHeight="1" x14ac:dyDescent="0.3">
      <c r="A53" s="39"/>
      <c r="B53" s="39"/>
      <c r="C53" s="45"/>
      <c r="D53" s="48" t="s">
        <v>87</v>
      </c>
      <c r="E53" s="39"/>
      <c r="F53" s="39"/>
      <c r="G53" s="33"/>
      <c r="H53" s="33"/>
      <c r="I53" s="50">
        <f t="shared" si="19"/>
        <v>1800</v>
      </c>
      <c r="J53" s="50">
        <v>0</v>
      </c>
      <c r="K53" s="50">
        <f t="shared" si="20"/>
        <v>175</v>
      </c>
      <c r="L53" s="42">
        <v>0</v>
      </c>
      <c r="M53" s="42">
        <v>0</v>
      </c>
      <c r="N53" s="42"/>
      <c r="O53" s="70">
        <f t="shared" si="21"/>
        <v>1975</v>
      </c>
      <c r="P53" s="50">
        <f>'2025 Budget'!U52</f>
        <v>1250</v>
      </c>
      <c r="Q53" s="82">
        <f t="shared" si="22"/>
        <v>-725</v>
      </c>
      <c r="S53" s="201"/>
      <c r="AC53" s="42">
        <v>175</v>
      </c>
      <c r="AD53" s="42">
        <v>1975</v>
      </c>
      <c r="AE53" s="239">
        <f t="shared" si="23"/>
        <v>1800</v>
      </c>
    </row>
    <row r="54" spans="1:31" ht="13.5" customHeight="1" x14ac:dyDescent="0.3">
      <c r="A54" s="39"/>
      <c r="B54" s="39"/>
      <c r="C54" s="45"/>
      <c r="D54" s="45" t="s">
        <v>8</v>
      </c>
      <c r="E54" s="39"/>
      <c r="F54" s="39"/>
      <c r="G54" s="33"/>
      <c r="H54" s="33"/>
      <c r="I54" s="50">
        <f t="shared" si="19"/>
        <v>17027.66</v>
      </c>
      <c r="J54" s="50">
        <v>0</v>
      </c>
      <c r="K54" s="50">
        <f t="shared" si="20"/>
        <v>5219.45</v>
      </c>
      <c r="L54" s="42">
        <v>750</v>
      </c>
      <c r="M54" s="42">
        <v>0</v>
      </c>
      <c r="N54" s="42"/>
      <c r="O54" s="70">
        <f t="shared" si="21"/>
        <v>22997.11</v>
      </c>
      <c r="P54" s="50">
        <f>'2025 Budget'!U53</f>
        <v>19000</v>
      </c>
      <c r="Q54" s="82">
        <f t="shared" si="22"/>
        <v>-3997.1100000000006</v>
      </c>
      <c r="S54" s="201"/>
      <c r="AC54" s="42">
        <v>5219.45</v>
      </c>
      <c r="AD54" s="42">
        <v>22247.11</v>
      </c>
      <c r="AE54" s="239">
        <f t="shared" si="23"/>
        <v>17027.66</v>
      </c>
    </row>
    <row r="55" spans="1:31" ht="13.5" customHeight="1" x14ac:dyDescent="0.3">
      <c r="A55" s="39"/>
      <c r="B55" s="39"/>
      <c r="C55" s="45"/>
      <c r="D55" s="33" t="s">
        <v>9</v>
      </c>
      <c r="E55" s="39"/>
      <c r="F55" s="39"/>
      <c r="G55" s="33"/>
      <c r="H55" s="33"/>
      <c r="I55" s="50">
        <f t="shared" si="19"/>
        <v>0</v>
      </c>
      <c r="J55" s="50">
        <v>0</v>
      </c>
      <c r="K55" s="50">
        <f t="shared" si="20"/>
        <v>0</v>
      </c>
      <c r="L55" s="42">
        <v>0</v>
      </c>
      <c r="M55" s="42">
        <v>0</v>
      </c>
      <c r="N55" s="42"/>
      <c r="O55" s="70">
        <f t="shared" si="21"/>
        <v>0</v>
      </c>
      <c r="P55" s="50">
        <f>'2025 Budget'!U54</f>
        <v>0</v>
      </c>
      <c r="Q55" s="82">
        <f t="shared" si="22"/>
        <v>0</v>
      </c>
      <c r="S55" s="201"/>
      <c r="AC55" s="42">
        <v>0</v>
      </c>
      <c r="AD55" s="42">
        <v>0</v>
      </c>
      <c r="AE55" s="239">
        <f t="shared" si="23"/>
        <v>0</v>
      </c>
    </row>
    <row r="56" spans="1:31" ht="13.5" customHeight="1" x14ac:dyDescent="0.3">
      <c r="A56" s="39"/>
      <c r="B56" s="39"/>
      <c r="C56" s="45"/>
      <c r="D56" s="45" t="s">
        <v>234</v>
      </c>
      <c r="E56" s="39"/>
      <c r="F56" s="39"/>
      <c r="G56" s="325"/>
      <c r="H56" s="324"/>
      <c r="I56" s="50">
        <f t="shared" si="19"/>
        <v>440.81</v>
      </c>
      <c r="J56" s="50">
        <v>0</v>
      </c>
      <c r="K56" s="50">
        <f t="shared" si="20"/>
        <v>6.21</v>
      </c>
      <c r="L56" s="42">
        <v>0</v>
      </c>
      <c r="M56" s="42">
        <v>0</v>
      </c>
      <c r="N56" s="42"/>
      <c r="O56" s="70">
        <f t="shared" si="21"/>
        <v>447.02</v>
      </c>
      <c r="P56" s="50">
        <f>'2025 Budget'!U55</f>
        <v>0</v>
      </c>
      <c r="Q56" s="82">
        <f t="shared" si="22"/>
        <v>-447.02</v>
      </c>
      <c r="S56" s="201"/>
      <c r="AC56" s="42">
        <v>6.21</v>
      </c>
      <c r="AD56" s="142">
        <f>110.99+336.03</f>
        <v>447.02</v>
      </c>
      <c r="AE56" s="239">
        <f t="shared" si="23"/>
        <v>440.81</v>
      </c>
    </row>
    <row r="57" spans="1:31" ht="13.5" customHeight="1" x14ac:dyDescent="0.3">
      <c r="A57" s="39"/>
      <c r="B57" s="39"/>
      <c r="C57" s="45"/>
      <c r="D57" s="45" t="s">
        <v>11</v>
      </c>
      <c r="E57" s="39"/>
      <c r="F57" s="39"/>
      <c r="G57" s="33"/>
      <c r="H57" s="33"/>
      <c r="I57" s="50">
        <f t="shared" si="19"/>
        <v>2440.94</v>
      </c>
      <c r="J57" s="50">
        <v>0</v>
      </c>
      <c r="K57" s="50">
        <f t="shared" si="20"/>
        <v>400</v>
      </c>
      <c r="L57" s="42">
        <v>2250</v>
      </c>
      <c r="M57" s="42">
        <v>0</v>
      </c>
      <c r="N57" s="42"/>
      <c r="O57" s="70">
        <f t="shared" si="21"/>
        <v>5090.9400000000005</v>
      </c>
      <c r="P57" s="50">
        <f>'2025 Budget'!U56</f>
        <v>3000</v>
      </c>
      <c r="Q57" s="82">
        <f t="shared" si="22"/>
        <v>-2090.9400000000005</v>
      </c>
      <c r="S57" s="201"/>
      <c r="AC57" s="42">
        <v>400</v>
      </c>
      <c r="AD57" s="42">
        <v>2840.94</v>
      </c>
      <c r="AE57" s="239">
        <f t="shared" si="23"/>
        <v>2440.94</v>
      </c>
    </row>
    <row r="58" spans="1:31" ht="13.5" customHeight="1" x14ac:dyDescent="0.3">
      <c r="A58" s="39"/>
      <c r="B58" s="39"/>
      <c r="C58" s="45"/>
      <c r="D58" s="45" t="s">
        <v>144</v>
      </c>
      <c r="E58" s="39"/>
      <c r="F58" s="39"/>
      <c r="G58" s="33"/>
      <c r="H58" s="33"/>
      <c r="I58" s="50">
        <f t="shared" si="19"/>
        <v>2117.85</v>
      </c>
      <c r="J58" s="50">
        <v>0</v>
      </c>
      <c r="K58" s="50">
        <f t="shared" si="20"/>
        <v>215.42</v>
      </c>
      <c r="L58" s="42">
        <v>0</v>
      </c>
      <c r="M58" s="42">
        <v>0</v>
      </c>
      <c r="N58" s="42"/>
      <c r="O58" s="70">
        <f t="shared" si="21"/>
        <v>2333.27</v>
      </c>
      <c r="P58" s="50">
        <f>'2025 Budget'!U57</f>
        <v>0</v>
      </c>
      <c r="Q58" s="82">
        <f t="shared" si="22"/>
        <v>-2333.27</v>
      </c>
      <c r="S58" s="201"/>
      <c r="AC58" s="42">
        <v>215.42</v>
      </c>
      <c r="AD58" s="42">
        <v>2333.27</v>
      </c>
      <c r="AE58" s="239">
        <f t="shared" si="23"/>
        <v>2117.85</v>
      </c>
    </row>
    <row r="59" spans="1:31" ht="13.5" customHeight="1" x14ac:dyDescent="0.3">
      <c r="A59" s="39"/>
      <c r="B59" s="39"/>
      <c r="C59" s="45"/>
      <c r="D59" s="33" t="s">
        <v>10</v>
      </c>
      <c r="E59" s="39"/>
      <c r="F59" s="39"/>
      <c r="G59" s="33"/>
      <c r="H59" s="33"/>
      <c r="I59" s="74">
        <f t="shared" si="19"/>
        <v>0</v>
      </c>
      <c r="J59" s="50">
        <v>0</v>
      </c>
      <c r="K59" s="50">
        <f t="shared" si="20"/>
        <v>3193.38</v>
      </c>
      <c r="L59" s="42">
        <v>1000</v>
      </c>
      <c r="M59" s="42">
        <v>0</v>
      </c>
      <c r="N59" s="206"/>
      <c r="O59" s="207">
        <f t="shared" si="21"/>
        <v>4193.38</v>
      </c>
      <c r="P59" s="74">
        <f>'2025 Budget'!U58</f>
        <v>3500</v>
      </c>
      <c r="Q59" s="208">
        <f t="shared" si="22"/>
        <v>-693.38000000000011</v>
      </c>
      <c r="S59" s="201"/>
      <c r="AC59" s="42">
        <f>2814+379.38</f>
        <v>3193.38</v>
      </c>
      <c r="AD59" s="206">
        <v>3193.38</v>
      </c>
      <c r="AE59" s="239">
        <f t="shared" si="23"/>
        <v>0</v>
      </c>
    </row>
    <row r="60" spans="1:31" ht="6.75" customHeight="1" x14ac:dyDescent="0.3">
      <c r="A60" s="39"/>
      <c r="B60" s="39"/>
      <c r="C60" s="45"/>
      <c r="D60" s="45"/>
      <c r="E60" s="39"/>
      <c r="F60" s="39"/>
      <c r="G60" s="33"/>
      <c r="H60" s="33"/>
      <c r="I60" s="42"/>
      <c r="J60" s="267"/>
      <c r="K60" s="224"/>
      <c r="L60" s="224"/>
      <c r="M60" s="224"/>
      <c r="N60" s="42"/>
      <c r="O60" s="70"/>
      <c r="P60" s="50"/>
      <c r="Q60" s="82"/>
      <c r="S60" s="201"/>
      <c r="AC60" s="224"/>
      <c r="AD60" s="42"/>
      <c r="AE60" s="224"/>
    </row>
    <row r="61" spans="1:31" ht="13.5" customHeight="1" x14ac:dyDescent="0.3">
      <c r="A61" s="39"/>
      <c r="B61" s="39"/>
      <c r="C61" s="47" t="s">
        <v>13</v>
      </c>
      <c r="D61" s="45"/>
      <c r="E61" s="39"/>
      <c r="F61" s="39"/>
      <c r="G61" s="33"/>
      <c r="H61" s="33"/>
      <c r="I61" s="44">
        <f>SUM(I52:I60)</f>
        <v>23827.26</v>
      </c>
      <c r="J61" s="268">
        <f t="shared" ref="J61:Q61" si="24">SUM(J52:J60)</f>
        <v>0</v>
      </c>
      <c r="K61" s="44">
        <f t="shared" si="24"/>
        <v>9209.4599999999991</v>
      </c>
      <c r="L61" s="44">
        <f t="shared" si="24"/>
        <v>4000</v>
      </c>
      <c r="M61" s="44">
        <f t="shared" si="24"/>
        <v>0</v>
      </c>
      <c r="N61" s="44"/>
      <c r="O61" s="72">
        <f t="shared" si="24"/>
        <v>37036.719999999994</v>
      </c>
      <c r="P61" s="44">
        <f t="shared" si="24"/>
        <v>27100</v>
      </c>
      <c r="Q61" s="84">
        <f t="shared" si="24"/>
        <v>-9936.7200000000012</v>
      </c>
      <c r="S61" s="100">
        <f>P61-O61</f>
        <v>-9936.7199999999939</v>
      </c>
      <c r="AC61" s="44">
        <f t="shared" ref="AC61" si="25">SUM(AC52:AC60)</f>
        <v>9209.4599999999991</v>
      </c>
      <c r="AD61" s="44">
        <f>SUM(AD52:AD60)</f>
        <v>33036.720000000001</v>
      </c>
      <c r="AE61" s="44">
        <f t="shared" ref="AE61" si="26">SUM(AE52:AE60)</f>
        <v>23827.26</v>
      </c>
    </row>
    <row r="62" spans="1:31" ht="15" customHeight="1" x14ac:dyDescent="0.3">
      <c r="A62" s="39"/>
      <c r="B62" s="39"/>
      <c r="C62" s="40"/>
      <c r="D62" s="45"/>
      <c r="E62" s="39"/>
      <c r="F62" s="39"/>
      <c r="G62" s="33"/>
      <c r="H62" s="33"/>
      <c r="I62" s="42"/>
      <c r="J62" s="100"/>
      <c r="K62" s="42"/>
      <c r="L62" s="42"/>
      <c r="M62" s="42"/>
      <c r="N62" s="42"/>
      <c r="O62" s="70"/>
      <c r="P62" s="50"/>
      <c r="Q62" s="82"/>
      <c r="S62" s="201"/>
      <c r="AC62" s="42"/>
      <c r="AD62" s="42"/>
      <c r="AE62" s="42"/>
    </row>
    <row r="63" spans="1:31" ht="15" customHeight="1" x14ac:dyDescent="0.3">
      <c r="A63" s="39"/>
      <c r="B63" s="39"/>
      <c r="C63" s="47" t="s">
        <v>14</v>
      </c>
      <c r="D63" s="45"/>
      <c r="E63" s="39"/>
      <c r="F63" s="33"/>
      <c r="G63" s="33"/>
      <c r="H63" s="33"/>
      <c r="I63" s="42"/>
      <c r="J63" s="100"/>
      <c r="K63" s="42"/>
      <c r="L63" s="42"/>
      <c r="M63" s="42"/>
      <c r="N63" s="42"/>
      <c r="O63" s="70"/>
      <c r="P63" s="50"/>
      <c r="Q63" s="82"/>
      <c r="S63" s="201"/>
      <c r="AC63" s="42"/>
      <c r="AD63" s="42"/>
      <c r="AE63" s="42"/>
    </row>
    <row r="64" spans="1:31" ht="15" customHeight="1" x14ac:dyDescent="0.3">
      <c r="A64" s="39"/>
      <c r="B64" s="39"/>
      <c r="C64" s="39"/>
      <c r="D64" s="45" t="s">
        <v>15</v>
      </c>
      <c r="E64" s="39"/>
      <c r="F64" s="33"/>
      <c r="G64" s="33"/>
      <c r="H64" s="33"/>
      <c r="I64" s="50">
        <f t="shared" ref="I64:I70" si="27">AE64</f>
        <v>1878.99</v>
      </c>
      <c r="J64" s="50">
        <v>0</v>
      </c>
      <c r="K64" s="50">
        <f t="shared" ref="K64:K70" si="28">AC64</f>
        <v>0</v>
      </c>
      <c r="L64" s="42">
        <f>400</f>
        <v>400</v>
      </c>
      <c r="M64" s="42">
        <v>0</v>
      </c>
      <c r="N64" s="42"/>
      <c r="O64" s="70">
        <f t="shared" ref="O64:O70" si="29">SUM(I64:N64)</f>
        <v>2278.9899999999998</v>
      </c>
      <c r="P64" s="50">
        <f>'2025 Budget'!U63</f>
        <v>2250</v>
      </c>
      <c r="Q64" s="82">
        <f t="shared" ref="Q64:Q70" si="30">P64-O64</f>
        <v>-28.989999999999782</v>
      </c>
      <c r="S64" s="201"/>
      <c r="AC64" s="42">
        <v>0</v>
      </c>
      <c r="AD64" s="42">
        <v>1878.99</v>
      </c>
      <c r="AE64" s="239">
        <f>AD64-AC64</f>
        <v>1878.99</v>
      </c>
    </row>
    <row r="65" spans="1:31" ht="15" customHeight="1" x14ac:dyDescent="0.3">
      <c r="A65" s="39"/>
      <c r="B65" s="39"/>
      <c r="C65" s="39"/>
      <c r="D65" s="48" t="s">
        <v>76</v>
      </c>
      <c r="E65" s="39"/>
      <c r="F65" s="33"/>
      <c r="G65" s="33"/>
      <c r="H65" s="45"/>
      <c r="I65" s="50">
        <f t="shared" si="27"/>
        <v>0</v>
      </c>
      <c r="J65" s="50">
        <v>0</v>
      </c>
      <c r="K65" s="50">
        <f t="shared" si="28"/>
        <v>0</v>
      </c>
      <c r="L65" s="42">
        <v>0</v>
      </c>
      <c r="M65" s="42">
        <v>0</v>
      </c>
      <c r="N65" s="42"/>
      <c r="O65" s="70">
        <f t="shared" si="29"/>
        <v>0</v>
      </c>
      <c r="P65" s="50">
        <f>'2025 Budget'!U64</f>
        <v>1200</v>
      </c>
      <c r="Q65" s="82">
        <f t="shared" si="30"/>
        <v>1200</v>
      </c>
      <c r="S65" s="201"/>
      <c r="AC65" s="42">
        <v>0</v>
      </c>
      <c r="AD65" s="42">
        <v>0</v>
      </c>
      <c r="AE65" s="239">
        <f>AD65-AC65</f>
        <v>0</v>
      </c>
    </row>
    <row r="66" spans="1:31" ht="15" customHeight="1" x14ac:dyDescent="0.3">
      <c r="A66" s="39"/>
      <c r="B66" s="39"/>
      <c r="C66" s="39"/>
      <c r="D66" s="26"/>
      <c r="E66" s="47" t="s">
        <v>16</v>
      </c>
      <c r="F66" s="33"/>
      <c r="G66" s="33"/>
      <c r="H66" s="45"/>
      <c r="I66" s="50"/>
      <c r="J66" s="50">
        <v>0</v>
      </c>
      <c r="K66" s="50"/>
      <c r="L66" s="42"/>
      <c r="M66" s="42"/>
      <c r="N66" s="42"/>
      <c r="O66" s="70"/>
      <c r="P66" s="50"/>
      <c r="Q66" s="82"/>
      <c r="S66" s="201"/>
      <c r="AC66" s="42"/>
      <c r="AD66" s="42"/>
      <c r="AE66" s="42"/>
    </row>
    <row r="67" spans="1:31" ht="15" customHeight="1" x14ac:dyDescent="0.3">
      <c r="A67" s="39"/>
      <c r="B67" s="39"/>
      <c r="C67" s="39"/>
      <c r="D67" s="48"/>
      <c r="E67" s="26"/>
      <c r="F67" s="39" t="s">
        <v>116</v>
      </c>
      <c r="G67" s="33"/>
      <c r="H67" s="323"/>
      <c r="I67" s="50">
        <f t="shared" si="27"/>
        <v>1400</v>
      </c>
      <c r="J67" s="50">
        <v>0</v>
      </c>
      <c r="K67" s="50">
        <f t="shared" si="28"/>
        <v>0</v>
      </c>
      <c r="L67" s="50">
        <f>'Pool Attendents'!M19</f>
        <v>52</v>
      </c>
      <c r="M67" s="50">
        <f>'Pool Attendents'!N19</f>
        <v>52</v>
      </c>
      <c r="N67" s="42"/>
      <c r="O67" s="70">
        <f t="shared" si="29"/>
        <v>1504</v>
      </c>
      <c r="P67" s="50">
        <f>'2025 Budget'!U66</f>
        <v>504</v>
      </c>
      <c r="Q67" s="82">
        <f t="shared" si="30"/>
        <v>-1000</v>
      </c>
      <c r="S67" s="201"/>
      <c r="AC67" s="42">
        <v>0</v>
      </c>
      <c r="AD67" s="42">
        <v>1400</v>
      </c>
      <c r="AE67" s="239">
        <f t="shared" ref="AE67:AE70" si="31">AD67-AC67</f>
        <v>1400</v>
      </c>
    </row>
    <row r="68" spans="1:31" ht="15" customHeight="1" x14ac:dyDescent="0.3">
      <c r="A68" s="39"/>
      <c r="B68" s="39"/>
      <c r="C68" s="39"/>
      <c r="D68" s="48"/>
      <c r="E68" s="26"/>
      <c r="F68" s="39" t="s">
        <v>117</v>
      </c>
      <c r="G68" s="33"/>
      <c r="H68" s="45"/>
      <c r="I68" s="50">
        <f t="shared" si="27"/>
        <v>435.25000000000006</v>
      </c>
      <c r="J68" s="50">
        <v>0</v>
      </c>
      <c r="K68" s="50">
        <f t="shared" si="28"/>
        <v>79.94</v>
      </c>
      <c r="L68" s="42">
        <v>50</v>
      </c>
      <c r="M68" s="42">
        <v>50</v>
      </c>
      <c r="N68" s="42"/>
      <c r="O68" s="70">
        <f t="shared" si="29"/>
        <v>615.19000000000005</v>
      </c>
      <c r="P68" s="50">
        <f>'2025 Budget'!U67</f>
        <v>360</v>
      </c>
      <c r="Q68" s="82">
        <f t="shared" si="30"/>
        <v>-255.19000000000005</v>
      </c>
      <c r="S68" s="201"/>
      <c r="AC68" s="42">
        <v>79.94</v>
      </c>
      <c r="AD68" s="42">
        <v>515.19000000000005</v>
      </c>
      <c r="AE68" s="239">
        <f t="shared" si="31"/>
        <v>435.25000000000006</v>
      </c>
    </row>
    <row r="69" spans="1:31" ht="15" customHeight="1" x14ac:dyDescent="0.3">
      <c r="A69" s="39"/>
      <c r="B69" s="39"/>
      <c r="C69" s="39"/>
      <c r="D69" s="48"/>
      <c r="E69" s="26"/>
      <c r="F69" s="39" t="s">
        <v>185</v>
      </c>
      <c r="G69" s="33"/>
      <c r="H69" s="386" t="s">
        <v>237</v>
      </c>
      <c r="I69" s="50">
        <f t="shared" si="27"/>
        <v>0.01</v>
      </c>
      <c r="J69" s="50">
        <v>0</v>
      </c>
      <c r="K69" s="50">
        <f t="shared" si="28"/>
        <v>0</v>
      </c>
      <c r="L69" s="42">
        <v>0</v>
      </c>
      <c r="M69" s="42">
        <v>0</v>
      </c>
      <c r="N69" s="42"/>
      <c r="O69" s="70">
        <f t="shared" si="29"/>
        <v>0.01</v>
      </c>
      <c r="P69" s="50">
        <f>'2025 Budget'!U68</f>
        <v>1367.7223200000001</v>
      </c>
      <c r="Q69" s="82">
        <f t="shared" si="30"/>
        <v>1367.7123200000001</v>
      </c>
      <c r="S69" s="201"/>
      <c r="AC69" s="42">
        <v>0</v>
      </c>
      <c r="AD69" s="42">
        <v>0.01</v>
      </c>
      <c r="AE69" s="239">
        <f t="shared" si="31"/>
        <v>0.01</v>
      </c>
    </row>
    <row r="70" spans="1:31" ht="15" customHeight="1" x14ac:dyDescent="0.3">
      <c r="A70" s="39"/>
      <c r="B70" s="39"/>
      <c r="C70" s="39"/>
      <c r="D70" s="48"/>
      <c r="E70" s="26"/>
      <c r="F70" s="45" t="s">
        <v>17</v>
      </c>
      <c r="G70" s="33"/>
      <c r="H70" s="45"/>
      <c r="I70" s="74">
        <f t="shared" si="27"/>
        <v>7868.19</v>
      </c>
      <c r="J70" s="50">
        <v>0</v>
      </c>
      <c r="K70" s="50">
        <f t="shared" si="28"/>
        <v>0</v>
      </c>
      <c r="L70" s="42">
        <v>0</v>
      </c>
      <c r="M70" s="42">
        <v>0</v>
      </c>
      <c r="N70" s="206"/>
      <c r="O70" s="207">
        <f t="shared" si="29"/>
        <v>7868.19</v>
      </c>
      <c r="P70" s="74">
        <f>'2025 Budget'!U69</f>
        <v>11397.686000000002</v>
      </c>
      <c r="Q70" s="208">
        <f t="shared" si="30"/>
        <v>3529.4960000000019</v>
      </c>
      <c r="S70" s="201"/>
      <c r="AC70" s="42">
        <v>0</v>
      </c>
      <c r="AD70" s="206">
        <v>7868.19</v>
      </c>
      <c r="AE70" s="239">
        <f t="shared" si="31"/>
        <v>7868.19</v>
      </c>
    </row>
    <row r="71" spans="1:31" ht="6" customHeight="1" x14ac:dyDescent="0.3">
      <c r="A71" s="39"/>
      <c r="B71" s="39"/>
      <c r="C71" s="39"/>
      <c r="D71" s="48"/>
      <c r="E71" s="45"/>
      <c r="F71" s="33"/>
      <c r="G71" s="33"/>
      <c r="H71" s="45"/>
      <c r="I71" s="42"/>
      <c r="J71" s="267"/>
      <c r="K71" s="224"/>
      <c r="L71" s="224"/>
      <c r="M71" s="224"/>
      <c r="N71" s="42"/>
      <c r="O71" s="70"/>
      <c r="P71" s="50"/>
      <c r="Q71" s="82"/>
      <c r="S71" s="201"/>
      <c r="AC71" s="224"/>
      <c r="AD71" s="42"/>
      <c r="AE71" s="224"/>
    </row>
    <row r="72" spans="1:31" ht="15" customHeight="1" x14ac:dyDescent="0.3">
      <c r="A72" s="39"/>
      <c r="B72" s="39"/>
      <c r="C72" s="39"/>
      <c r="D72" s="48"/>
      <c r="E72" s="39"/>
      <c r="F72" s="47" t="s">
        <v>18</v>
      </c>
      <c r="G72" s="33"/>
      <c r="H72" s="45"/>
      <c r="I72" s="44">
        <f>SUM(I67:I71)</f>
        <v>9703.4499999999989</v>
      </c>
      <c r="J72" s="268">
        <f>SUM(J67:J71)</f>
        <v>0</v>
      </c>
      <c r="K72" s="44">
        <f>SUM(K67:K71)</f>
        <v>79.94</v>
      </c>
      <c r="L72" s="44">
        <f>SUM(L67:L71)</f>
        <v>102</v>
      </c>
      <c r="M72" s="44">
        <f>SUM(M67:M71)</f>
        <v>102</v>
      </c>
      <c r="N72" s="44"/>
      <c r="O72" s="72">
        <f>SUM(O67:O71)</f>
        <v>9987.39</v>
      </c>
      <c r="P72" s="44">
        <f>SUM(P67:P71)</f>
        <v>13629.408320000002</v>
      </c>
      <c r="Q72" s="84">
        <f>SUM(Q67:Q71)</f>
        <v>3642.0183200000019</v>
      </c>
      <c r="S72" s="100">
        <f>P72-O72</f>
        <v>3642.0183200000029</v>
      </c>
      <c r="AC72" s="44">
        <f>SUM(AC67:AC71)</f>
        <v>79.94</v>
      </c>
      <c r="AD72" s="44">
        <f>SUM(AD67:AD71)</f>
        <v>9783.39</v>
      </c>
      <c r="AE72" s="44">
        <f>SUM(AE67:AE71)</f>
        <v>9703.4499999999989</v>
      </c>
    </row>
    <row r="73" spans="1:31" ht="15" customHeight="1" x14ac:dyDescent="0.3">
      <c r="A73" s="39"/>
      <c r="B73" s="39"/>
      <c r="C73" s="39"/>
      <c r="D73" s="26"/>
      <c r="E73" s="45" t="s">
        <v>74</v>
      </c>
      <c r="F73" s="47"/>
      <c r="G73" s="33"/>
      <c r="H73" s="45"/>
      <c r="I73" s="50">
        <f t="shared" ref="I73:I77" si="32">AE73</f>
        <v>350</v>
      </c>
      <c r="J73" s="50">
        <v>0</v>
      </c>
      <c r="K73" s="50">
        <f t="shared" ref="K73:K77" si="33">AC73</f>
        <v>0</v>
      </c>
      <c r="L73" s="42">
        <v>0</v>
      </c>
      <c r="M73" s="42">
        <v>0</v>
      </c>
      <c r="N73" s="42"/>
      <c r="O73" s="70">
        <f t="shared" ref="O73:O77" si="34">SUM(I73:N73)</f>
        <v>350</v>
      </c>
      <c r="P73" s="50">
        <f>'2025 Budget'!U72</f>
        <v>150</v>
      </c>
      <c r="Q73" s="82">
        <f t="shared" ref="Q73:Q77" si="35">P73-O73</f>
        <v>-200</v>
      </c>
      <c r="S73" s="100"/>
      <c r="AC73" s="42">
        <v>0</v>
      </c>
      <c r="AD73" s="142">
        <f>50+300</f>
        <v>350</v>
      </c>
      <c r="AE73" s="239">
        <f t="shared" ref="AE73:AE77" si="36">AD73-AC73</f>
        <v>350</v>
      </c>
    </row>
    <row r="74" spans="1:31" ht="15" customHeight="1" x14ac:dyDescent="0.3">
      <c r="A74" s="39"/>
      <c r="B74" s="39"/>
      <c r="C74" s="39"/>
      <c r="D74" s="48"/>
      <c r="E74" s="45" t="s">
        <v>109</v>
      </c>
      <c r="F74" s="47"/>
      <c r="G74" s="33"/>
      <c r="H74" s="45"/>
      <c r="I74" s="50">
        <f t="shared" si="32"/>
        <v>0</v>
      </c>
      <c r="J74" s="50">
        <v>0</v>
      </c>
      <c r="K74" s="50">
        <f t="shared" si="33"/>
        <v>0</v>
      </c>
      <c r="L74" s="42">
        <v>0</v>
      </c>
      <c r="M74" s="42">
        <v>0</v>
      </c>
      <c r="N74" s="42"/>
      <c r="O74" s="70">
        <f t="shared" si="34"/>
        <v>0</v>
      </c>
      <c r="P74" s="50">
        <f>'2025 Budget'!U73</f>
        <v>150</v>
      </c>
      <c r="Q74" s="82">
        <f t="shared" si="35"/>
        <v>150</v>
      </c>
      <c r="S74" s="201"/>
      <c r="AC74" s="42">
        <v>0</v>
      </c>
      <c r="AD74" s="42">
        <v>0</v>
      </c>
      <c r="AE74" s="239">
        <f t="shared" si="36"/>
        <v>0</v>
      </c>
    </row>
    <row r="75" spans="1:31" ht="15" customHeight="1" x14ac:dyDescent="0.3">
      <c r="A75" s="39"/>
      <c r="B75" s="39"/>
      <c r="C75" s="39"/>
      <c r="D75" s="48"/>
      <c r="E75" s="45" t="s">
        <v>60</v>
      </c>
      <c r="F75" s="47"/>
      <c r="G75" s="33"/>
      <c r="H75" s="45"/>
      <c r="I75" s="50">
        <f t="shared" si="32"/>
        <v>0</v>
      </c>
      <c r="J75" s="50">
        <v>0</v>
      </c>
      <c r="K75" s="50">
        <f t="shared" si="33"/>
        <v>0</v>
      </c>
      <c r="L75" s="42">
        <v>0</v>
      </c>
      <c r="M75" s="42">
        <v>0</v>
      </c>
      <c r="N75" s="42"/>
      <c r="O75" s="70">
        <f t="shared" si="34"/>
        <v>0</v>
      </c>
      <c r="P75" s="50">
        <f>'2025 Budget'!U74</f>
        <v>500</v>
      </c>
      <c r="Q75" s="82">
        <f t="shared" si="35"/>
        <v>500</v>
      </c>
      <c r="S75" s="201"/>
      <c r="AC75" s="42">
        <v>0</v>
      </c>
      <c r="AD75" s="42">
        <v>0</v>
      </c>
      <c r="AE75" s="239">
        <f t="shared" si="36"/>
        <v>0</v>
      </c>
    </row>
    <row r="76" spans="1:31" ht="15" customHeight="1" x14ac:dyDescent="0.3">
      <c r="A76" s="39"/>
      <c r="B76" s="39"/>
      <c r="C76" s="39"/>
      <c r="D76" s="48"/>
      <c r="E76" s="45" t="s">
        <v>214</v>
      </c>
      <c r="F76" s="47"/>
      <c r="G76" s="33"/>
      <c r="H76" s="45"/>
      <c r="I76" s="50">
        <f t="shared" si="32"/>
        <v>250</v>
      </c>
      <c r="J76" s="50">
        <v>0</v>
      </c>
      <c r="K76" s="50">
        <f t="shared" si="33"/>
        <v>0</v>
      </c>
      <c r="L76" s="42">
        <v>0</v>
      </c>
      <c r="M76" s="42">
        <v>350</v>
      </c>
      <c r="N76" s="42"/>
      <c r="O76" s="70">
        <f t="shared" si="34"/>
        <v>600</v>
      </c>
      <c r="P76" s="50">
        <f>'2025 Budget'!U75</f>
        <v>1000</v>
      </c>
      <c r="Q76" s="82">
        <f t="shared" si="35"/>
        <v>400</v>
      </c>
      <c r="S76" s="201"/>
      <c r="AC76" s="42">
        <v>0</v>
      </c>
      <c r="AD76" s="42">
        <v>250</v>
      </c>
      <c r="AE76" s="239">
        <f t="shared" si="36"/>
        <v>250</v>
      </c>
    </row>
    <row r="77" spans="1:31" ht="15" customHeight="1" x14ac:dyDescent="0.3">
      <c r="A77" s="39"/>
      <c r="B77" s="39"/>
      <c r="C77" s="39"/>
      <c r="D77" s="26"/>
      <c r="E77" s="45" t="s">
        <v>20</v>
      </c>
      <c r="F77" s="33"/>
      <c r="G77" s="33"/>
      <c r="H77" s="33"/>
      <c r="I77" s="74">
        <f t="shared" si="32"/>
        <v>2003.17</v>
      </c>
      <c r="J77" s="50">
        <v>0</v>
      </c>
      <c r="K77" s="50">
        <f t="shared" si="33"/>
        <v>0</v>
      </c>
      <c r="L77" s="42">
        <v>50</v>
      </c>
      <c r="M77" s="42">
        <v>0</v>
      </c>
      <c r="N77" s="206"/>
      <c r="O77" s="207">
        <f t="shared" si="34"/>
        <v>2053.17</v>
      </c>
      <c r="P77" s="74">
        <f>'2025 Budget'!U76</f>
        <v>1850</v>
      </c>
      <c r="Q77" s="208">
        <f t="shared" si="35"/>
        <v>-203.17000000000007</v>
      </c>
      <c r="S77" s="201"/>
      <c r="AC77" s="42">
        <v>0</v>
      </c>
      <c r="AD77" s="206">
        <v>2003.17</v>
      </c>
      <c r="AE77" s="239">
        <f t="shared" si="36"/>
        <v>2003.17</v>
      </c>
    </row>
    <row r="78" spans="1:31" ht="6.75" customHeight="1" x14ac:dyDescent="0.3">
      <c r="A78" s="39"/>
      <c r="B78" s="39"/>
      <c r="C78" s="39"/>
      <c r="D78" s="26"/>
      <c r="E78" s="39"/>
      <c r="F78" s="33"/>
      <c r="G78" s="33"/>
      <c r="H78" s="33"/>
      <c r="I78" s="42"/>
      <c r="J78" s="267"/>
      <c r="K78" s="224"/>
      <c r="L78" s="224"/>
      <c r="M78" s="224"/>
      <c r="N78" s="42"/>
      <c r="O78" s="70"/>
      <c r="P78" s="50"/>
      <c r="Q78" s="82"/>
      <c r="S78" s="201"/>
      <c r="AC78" s="224"/>
      <c r="AD78" s="42"/>
      <c r="AE78" s="224"/>
    </row>
    <row r="79" spans="1:31" ht="15" customHeight="1" x14ac:dyDescent="0.3">
      <c r="A79" s="39"/>
      <c r="B79" s="39"/>
      <c r="C79" s="39"/>
      <c r="D79" s="47" t="s">
        <v>21</v>
      </c>
      <c r="E79" s="39"/>
      <c r="F79" s="33"/>
      <c r="G79" s="33"/>
      <c r="H79" s="33"/>
      <c r="I79" s="44">
        <f>SUM(I64:I65,I72:I77)</f>
        <v>14185.609999999999</v>
      </c>
      <c r="J79" s="268">
        <f>SUM(J64:J65,J72:J77)</f>
        <v>0</v>
      </c>
      <c r="K79" s="44">
        <f>SUM(K64:K65,K72:K77)</f>
        <v>79.94</v>
      </c>
      <c r="L79" s="44">
        <f>SUM(L64:L65,L72:L77)</f>
        <v>552</v>
      </c>
      <c r="M79" s="44">
        <f>SUM(M64:M65,M72:M77)</f>
        <v>452</v>
      </c>
      <c r="N79" s="44"/>
      <c r="O79" s="72">
        <f>SUM(O64:O65,O72:O77)</f>
        <v>15269.55</v>
      </c>
      <c r="P79" s="44">
        <f>SUM(P64:P65,P72:P77)</f>
        <v>20729.408320000002</v>
      </c>
      <c r="Q79" s="84">
        <f>SUM(Q64:Q65,Q72:Q77)</f>
        <v>5459.8583200000021</v>
      </c>
      <c r="S79" s="100">
        <f>P79-O79</f>
        <v>5459.858320000003</v>
      </c>
      <c r="AC79" s="44">
        <f>SUM(AC64:AC65,AC72:AC77)</f>
        <v>79.94</v>
      </c>
      <c r="AD79" s="44">
        <f>SUM(AD64:AD65,AD72:AD77)</f>
        <v>14265.55</v>
      </c>
      <c r="AE79" s="44">
        <f>SUM(AE64:AE65,AE72:AE77)</f>
        <v>14185.609999999999</v>
      </c>
    </row>
    <row r="80" spans="1:31" ht="15" customHeight="1" x14ac:dyDescent="0.3">
      <c r="A80" s="39"/>
      <c r="B80" s="39"/>
      <c r="C80" s="39"/>
      <c r="D80" s="26"/>
      <c r="E80" s="39"/>
      <c r="F80" s="33"/>
      <c r="G80" s="33"/>
      <c r="H80" s="33"/>
      <c r="I80" s="42"/>
      <c r="J80" s="100"/>
      <c r="K80" s="42"/>
      <c r="L80" s="42"/>
      <c r="M80" s="42"/>
      <c r="N80" s="42"/>
      <c r="O80" s="70"/>
      <c r="P80" s="50"/>
      <c r="Q80" s="82"/>
      <c r="S80" s="201"/>
      <c r="AC80" s="42"/>
      <c r="AD80" s="42"/>
      <c r="AE80" s="42"/>
    </row>
    <row r="81" spans="1:35" ht="13.5" customHeight="1" x14ac:dyDescent="0.3">
      <c r="A81" s="39"/>
      <c r="B81" s="39"/>
      <c r="C81" s="39"/>
      <c r="D81" s="47" t="s">
        <v>62</v>
      </c>
      <c r="E81" s="39"/>
      <c r="F81" s="39"/>
      <c r="G81" s="33"/>
      <c r="H81" s="33"/>
      <c r="I81" s="46"/>
      <c r="J81" s="100"/>
      <c r="K81" s="46"/>
      <c r="L81" s="46"/>
      <c r="M81" s="46"/>
      <c r="N81" s="46"/>
      <c r="O81" s="70"/>
      <c r="P81" s="50"/>
      <c r="Q81" s="82"/>
      <c r="S81" s="201"/>
      <c r="AC81" s="46"/>
      <c r="AD81" s="46"/>
      <c r="AE81" s="46"/>
    </row>
    <row r="82" spans="1:35" ht="13.5" customHeight="1" x14ac:dyDescent="0.3">
      <c r="A82" s="39"/>
      <c r="B82" s="39"/>
      <c r="C82" s="39"/>
      <c r="D82" s="45"/>
      <c r="E82" s="45" t="s">
        <v>68</v>
      </c>
      <c r="F82" s="39"/>
      <c r="G82" s="33"/>
      <c r="H82" s="33"/>
      <c r="I82" s="50">
        <f t="shared" ref="I82:I86" si="37">AE82</f>
        <v>7862</v>
      </c>
      <c r="J82" s="50">
        <v>0</v>
      </c>
      <c r="K82" s="50">
        <f t="shared" ref="K82:K86" si="38">AC82</f>
        <v>1014</v>
      </c>
      <c r="L82" s="42">
        <v>1014</v>
      </c>
      <c r="M82" s="42">
        <v>1014</v>
      </c>
      <c r="N82" s="42"/>
      <c r="O82" s="70">
        <f>SUM(I82:N82)</f>
        <v>10904</v>
      </c>
      <c r="P82" s="50">
        <f>'2025 Budget'!U81</f>
        <v>12411</v>
      </c>
      <c r="Q82" s="82">
        <f t="shared" ref="Q82:Q86" si="39">P82-O82</f>
        <v>1507</v>
      </c>
      <c r="S82" s="201"/>
      <c r="AC82" s="42">
        <v>1014</v>
      </c>
      <c r="AD82" s="42">
        <v>8876</v>
      </c>
      <c r="AE82" s="239">
        <f t="shared" ref="AE82:AE86" si="40">AD82-AC82</f>
        <v>7862</v>
      </c>
    </row>
    <row r="83" spans="1:35" ht="13.5" customHeight="1" x14ac:dyDescent="0.3">
      <c r="A83" s="39"/>
      <c r="B83" s="39"/>
      <c r="C83" s="39"/>
      <c r="D83" s="45"/>
      <c r="E83" s="45" t="s">
        <v>62</v>
      </c>
      <c r="F83" s="39"/>
      <c r="G83" s="33"/>
      <c r="H83" s="33"/>
      <c r="I83" s="50">
        <f t="shared" si="37"/>
        <v>8.2999999999999972</v>
      </c>
      <c r="J83" s="50">
        <v>0</v>
      </c>
      <c r="K83" s="50">
        <f t="shared" si="38"/>
        <v>105.02</v>
      </c>
      <c r="L83" s="42">
        <v>0</v>
      </c>
      <c r="M83" s="42">
        <v>0</v>
      </c>
      <c r="N83" s="42"/>
      <c r="O83" s="70">
        <f>SUM(I83:N83)</f>
        <v>113.32</v>
      </c>
      <c r="P83" s="50">
        <f>'2025 Budget'!U82</f>
        <v>300</v>
      </c>
      <c r="Q83" s="82">
        <f t="shared" si="39"/>
        <v>186.68</v>
      </c>
      <c r="S83" s="201"/>
      <c r="AC83" s="42">
        <v>105.02</v>
      </c>
      <c r="AD83" s="142">
        <f>105.02+8.3</f>
        <v>113.32</v>
      </c>
      <c r="AE83" s="239">
        <f t="shared" si="40"/>
        <v>8.2999999999999972</v>
      </c>
    </row>
    <row r="84" spans="1:35" ht="13.5" customHeight="1" x14ac:dyDescent="0.3">
      <c r="A84" s="39"/>
      <c r="B84" s="39"/>
      <c r="C84" s="39"/>
      <c r="D84" s="45"/>
      <c r="E84" s="45" t="s">
        <v>69</v>
      </c>
      <c r="F84" s="39"/>
      <c r="G84" s="33"/>
      <c r="H84" s="33"/>
      <c r="I84" s="50">
        <f t="shared" si="37"/>
        <v>460</v>
      </c>
      <c r="J84" s="50">
        <v>0</v>
      </c>
      <c r="K84" s="50">
        <f t="shared" si="38"/>
        <v>0</v>
      </c>
      <c r="L84" s="42">
        <v>0</v>
      </c>
      <c r="M84" s="42">
        <v>0</v>
      </c>
      <c r="N84" s="42"/>
      <c r="O84" s="70">
        <f>SUM(I84:N84)</f>
        <v>460</v>
      </c>
      <c r="P84" s="50">
        <f>'2025 Budget'!U83</f>
        <v>300</v>
      </c>
      <c r="Q84" s="82">
        <f t="shared" si="39"/>
        <v>-160</v>
      </c>
      <c r="S84" s="201"/>
      <c r="AC84" s="42">
        <v>0</v>
      </c>
      <c r="AD84" s="42">
        <v>460</v>
      </c>
      <c r="AE84" s="239">
        <f t="shared" si="40"/>
        <v>460</v>
      </c>
    </row>
    <row r="85" spans="1:35" ht="13.5" customHeight="1" x14ac:dyDescent="0.3">
      <c r="A85" s="39"/>
      <c r="B85" s="39"/>
      <c r="C85" s="39"/>
      <c r="D85" s="45"/>
      <c r="E85" s="45" t="s">
        <v>70</v>
      </c>
      <c r="F85" s="39"/>
      <c r="G85" s="33"/>
      <c r="H85" s="137">
        <v>0.1</v>
      </c>
      <c r="I85" s="50">
        <f t="shared" si="37"/>
        <v>52.500000000000014</v>
      </c>
      <c r="J85" s="50">
        <v>0</v>
      </c>
      <c r="K85" s="50">
        <f t="shared" si="38"/>
        <v>112.49</v>
      </c>
      <c r="L85" s="50">
        <f>K85</f>
        <v>112.49</v>
      </c>
      <c r="M85" s="50">
        <f>L85</f>
        <v>112.49</v>
      </c>
      <c r="N85" s="50"/>
      <c r="O85" s="70">
        <f>SUM(I85:N85)</f>
        <v>389.97</v>
      </c>
      <c r="P85" s="50">
        <f>'2025 Budget'!U84</f>
        <v>965</v>
      </c>
      <c r="Q85" s="82">
        <f t="shared" si="39"/>
        <v>575.03</v>
      </c>
      <c r="S85" s="201"/>
      <c r="AC85" s="42">
        <v>112.49</v>
      </c>
      <c r="AD85" s="42">
        <v>164.99</v>
      </c>
      <c r="AE85" s="239">
        <f t="shared" si="40"/>
        <v>52.500000000000014</v>
      </c>
    </row>
    <row r="86" spans="1:35" ht="13.5" customHeight="1" x14ac:dyDescent="0.3">
      <c r="A86" s="39"/>
      <c r="B86" s="39"/>
      <c r="C86" s="39"/>
      <c r="D86" s="45"/>
      <c r="E86" s="45" t="s">
        <v>71</v>
      </c>
      <c r="F86" s="39"/>
      <c r="G86" s="33"/>
      <c r="H86" s="33"/>
      <c r="I86" s="50">
        <f t="shared" si="37"/>
        <v>332.5</v>
      </c>
      <c r="J86" s="50">
        <v>0</v>
      </c>
      <c r="K86" s="50">
        <f t="shared" si="38"/>
        <v>0</v>
      </c>
      <c r="L86" s="42">
        <f>150*2</f>
        <v>300</v>
      </c>
      <c r="M86" s="42">
        <v>0</v>
      </c>
      <c r="N86" s="42"/>
      <c r="O86" s="70">
        <f>SUM(I86:N86)</f>
        <v>632.5</v>
      </c>
      <c r="P86" s="50">
        <f>'2025 Budget'!U85</f>
        <v>450</v>
      </c>
      <c r="Q86" s="82">
        <f t="shared" si="39"/>
        <v>-182.5</v>
      </c>
      <c r="S86" s="201"/>
      <c r="AC86" s="42">
        <v>0</v>
      </c>
      <c r="AD86" s="42">
        <v>332.5</v>
      </c>
      <c r="AE86" s="239">
        <f t="shared" si="40"/>
        <v>332.5</v>
      </c>
    </row>
    <row r="87" spans="1:35" ht="6.75" customHeight="1" x14ac:dyDescent="0.3">
      <c r="A87" s="39"/>
      <c r="B87" s="39"/>
      <c r="C87" s="39"/>
      <c r="D87" s="45"/>
      <c r="E87" s="45"/>
      <c r="F87" s="39"/>
      <c r="G87" s="33"/>
      <c r="H87" s="33"/>
      <c r="I87" s="43"/>
      <c r="J87" s="267"/>
      <c r="K87" s="43"/>
      <c r="L87" s="43"/>
      <c r="M87" s="43"/>
      <c r="N87" s="43"/>
      <c r="O87" s="71"/>
      <c r="P87" s="80"/>
      <c r="Q87" s="83"/>
      <c r="S87" s="201"/>
      <c r="AC87" s="43"/>
      <c r="AD87" s="43"/>
      <c r="AE87" s="43"/>
    </row>
    <row r="88" spans="1:35" ht="13.5" customHeight="1" x14ac:dyDescent="0.3">
      <c r="A88" s="39"/>
      <c r="B88" s="39"/>
      <c r="C88" s="39"/>
      <c r="D88" s="47" t="s">
        <v>118</v>
      </c>
      <c r="E88" s="39"/>
      <c r="F88" s="39"/>
      <c r="G88" s="33"/>
      <c r="H88" s="33"/>
      <c r="I88" s="44">
        <f>SUM(I82:I87)</f>
        <v>8715.2999999999993</v>
      </c>
      <c r="J88" s="268">
        <f>SUM(J82:J87)</f>
        <v>0</v>
      </c>
      <c r="K88" s="44">
        <f>SUM(K82:K87)</f>
        <v>1231.51</v>
      </c>
      <c r="L88" s="44">
        <f>SUM(L82:L87)</f>
        <v>1426.49</v>
      </c>
      <c r="M88" s="44">
        <f>SUM(M82:M87)</f>
        <v>1126.49</v>
      </c>
      <c r="N88" s="44"/>
      <c r="O88" s="72">
        <f>SUM(O82:O87)</f>
        <v>12499.789999999999</v>
      </c>
      <c r="P88" s="44">
        <f>SUM(P82:P87)</f>
        <v>14426</v>
      </c>
      <c r="Q88" s="84">
        <f>SUM(Q82:Q87)</f>
        <v>1926.21</v>
      </c>
      <c r="R88" s="33"/>
      <c r="S88" s="100">
        <f>P88-O88</f>
        <v>1926.2100000000009</v>
      </c>
      <c r="AC88" s="44">
        <f>SUM(AC82:AC87)</f>
        <v>1231.51</v>
      </c>
      <c r="AD88" s="44">
        <f>SUM(AD82:AD87)</f>
        <v>9946.81</v>
      </c>
      <c r="AE88" s="44">
        <f>SUM(AE82:AE87)</f>
        <v>8715.2999999999993</v>
      </c>
      <c r="AG88" s="42">
        <f>175</f>
        <v>175</v>
      </c>
      <c r="AH88" s="54">
        <f>AG88+AC88</f>
        <v>1406.51</v>
      </c>
      <c r="AI88" s="54">
        <f>AG88+AD88</f>
        <v>10121.81</v>
      </c>
    </row>
    <row r="89" spans="1:35" ht="13.5" customHeight="1" x14ac:dyDescent="0.3">
      <c r="A89" s="39"/>
      <c r="B89" s="39"/>
      <c r="C89" s="39"/>
      <c r="D89" s="45"/>
      <c r="E89" s="39"/>
      <c r="F89" s="39"/>
      <c r="G89" s="33"/>
      <c r="H89" s="33"/>
      <c r="I89" s="46"/>
      <c r="J89" s="100"/>
      <c r="K89" s="46"/>
      <c r="L89" s="46"/>
      <c r="M89" s="46"/>
      <c r="N89" s="46"/>
      <c r="O89" s="70"/>
      <c r="P89" s="50"/>
      <c r="Q89" s="82"/>
      <c r="S89" s="201"/>
      <c r="AC89" s="46"/>
      <c r="AD89" s="46"/>
      <c r="AE89" s="46"/>
    </row>
    <row r="90" spans="1:35" ht="13.5" customHeight="1" x14ac:dyDescent="0.3">
      <c r="A90" s="39"/>
      <c r="B90" s="39"/>
      <c r="C90" s="39"/>
      <c r="D90" s="47" t="s">
        <v>24</v>
      </c>
      <c r="E90" s="45"/>
      <c r="F90" s="39"/>
      <c r="G90" s="33"/>
      <c r="H90" s="33"/>
      <c r="I90" s="46"/>
      <c r="J90" s="100"/>
      <c r="K90" s="46"/>
      <c r="L90" s="46"/>
      <c r="M90" s="46"/>
      <c r="N90" s="46"/>
      <c r="O90" s="70"/>
      <c r="P90" s="50"/>
      <c r="Q90" s="82"/>
      <c r="S90" s="201"/>
      <c r="AC90" s="46"/>
      <c r="AD90" s="46"/>
      <c r="AE90" s="46"/>
    </row>
    <row r="91" spans="1:35" ht="13.5" customHeight="1" x14ac:dyDescent="0.3">
      <c r="A91" s="39"/>
      <c r="B91" s="39"/>
      <c r="C91" s="39"/>
      <c r="D91" s="47"/>
      <c r="E91" s="33" t="s">
        <v>183</v>
      </c>
      <c r="F91" s="39"/>
      <c r="G91" s="33"/>
      <c r="H91" s="33"/>
      <c r="I91" s="50">
        <f t="shared" ref="I91:I95" si="41">AE91</f>
        <v>0</v>
      </c>
      <c r="J91" s="50">
        <v>0</v>
      </c>
      <c r="K91" s="50">
        <f t="shared" ref="K91:K95" si="42">AC91</f>
        <v>0</v>
      </c>
      <c r="L91" s="42">
        <v>0</v>
      </c>
      <c r="M91" s="42">
        <v>0</v>
      </c>
      <c r="N91" s="46"/>
      <c r="O91" s="70">
        <f t="shared" ref="O91:O95" si="43">SUM(I91:N91)</f>
        <v>0</v>
      </c>
      <c r="P91" s="50">
        <f>'2025 Budget'!U90</f>
        <v>0</v>
      </c>
      <c r="Q91" s="82">
        <f t="shared" ref="Q91:Q95" si="44">P91-O91</f>
        <v>0</v>
      </c>
      <c r="S91" s="201"/>
      <c r="AC91" s="42">
        <v>0</v>
      </c>
      <c r="AD91" s="42">
        <v>0</v>
      </c>
      <c r="AE91" s="239">
        <f t="shared" ref="AE91:AE95" si="45">AD91-AC91</f>
        <v>0</v>
      </c>
    </row>
    <row r="92" spans="1:35" ht="13.5" customHeight="1" x14ac:dyDescent="0.3">
      <c r="A92" s="39"/>
      <c r="B92" s="39"/>
      <c r="C92" s="39"/>
      <c r="D92" s="47"/>
      <c r="E92" s="33" t="s">
        <v>186</v>
      </c>
      <c r="F92" s="39"/>
      <c r="G92" s="33"/>
      <c r="H92" s="33"/>
      <c r="I92" s="50">
        <f t="shared" si="41"/>
        <v>730.88</v>
      </c>
      <c r="J92" s="50">
        <v>0</v>
      </c>
      <c r="K92" s="50">
        <f t="shared" si="42"/>
        <v>0</v>
      </c>
      <c r="L92" s="42">
        <v>180</v>
      </c>
      <c r="M92" s="42">
        <v>90.27</v>
      </c>
      <c r="N92" s="46"/>
      <c r="O92" s="70">
        <f t="shared" si="43"/>
        <v>1001.15</v>
      </c>
      <c r="P92" s="50">
        <f>'2025 Budget'!U91</f>
        <v>1018.68</v>
      </c>
      <c r="Q92" s="82">
        <f t="shared" si="44"/>
        <v>17.529999999999973</v>
      </c>
      <c r="S92" s="201"/>
      <c r="AC92" s="42">
        <v>0</v>
      </c>
      <c r="AD92" s="42">
        <v>730.88</v>
      </c>
      <c r="AE92" s="239">
        <f t="shared" si="45"/>
        <v>730.88</v>
      </c>
    </row>
    <row r="93" spans="1:35" ht="13.5" customHeight="1" x14ac:dyDescent="0.3">
      <c r="A93" s="39"/>
      <c r="B93" s="39"/>
      <c r="C93" s="39"/>
      <c r="D93" s="47"/>
      <c r="E93" s="33" t="s">
        <v>25</v>
      </c>
      <c r="F93" s="39"/>
      <c r="G93" s="33"/>
      <c r="H93" s="33"/>
      <c r="I93" s="50">
        <f t="shared" si="41"/>
        <v>546.42000000000007</v>
      </c>
      <c r="J93" s="50">
        <v>0</v>
      </c>
      <c r="K93" s="50">
        <f t="shared" si="42"/>
        <v>64.05</v>
      </c>
      <c r="L93" s="50">
        <f>K93</f>
        <v>64.05</v>
      </c>
      <c r="M93" s="50">
        <f>L93</f>
        <v>64.05</v>
      </c>
      <c r="N93" s="46"/>
      <c r="O93" s="70">
        <f t="shared" si="43"/>
        <v>738.56999999999994</v>
      </c>
      <c r="P93" s="50">
        <f>'2025 Budget'!U92</f>
        <v>393.11999999999995</v>
      </c>
      <c r="Q93" s="82">
        <f t="shared" si="44"/>
        <v>-345.45</v>
      </c>
      <c r="S93" s="201"/>
      <c r="U93" s="320"/>
      <c r="AC93" s="42">
        <v>64.05</v>
      </c>
      <c r="AD93" s="42">
        <v>610.47</v>
      </c>
      <c r="AE93" s="239">
        <f t="shared" si="45"/>
        <v>546.42000000000007</v>
      </c>
    </row>
    <row r="94" spans="1:35" ht="13.5" customHeight="1" x14ac:dyDescent="0.3">
      <c r="A94" s="39"/>
      <c r="B94" s="39"/>
      <c r="C94" s="39"/>
      <c r="D94" s="39"/>
      <c r="E94" s="45" t="s">
        <v>26</v>
      </c>
      <c r="F94" s="39"/>
      <c r="G94" s="33"/>
      <c r="H94" s="33"/>
      <c r="I94" s="50">
        <f t="shared" si="41"/>
        <v>3397.23</v>
      </c>
      <c r="J94" s="50">
        <v>0</v>
      </c>
      <c r="K94" s="50">
        <f t="shared" si="42"/>
        <v>401.84</v>
      </c>
      <c r="L94" s="42">
        <v>350</v>
      </c>
      <c r="M94" s="50">
        <f>L94</f>
        <v>350</v>
      </c>
      <c r="N94" s="46"/>
      <c r="O94" s="70">
        <f t="shared" si="43"/>
        <v>4499.07</v>
      </c>
      <c r="P94" s="50">
        <f>'2025 Budget'!U93</f>
        <v>3605</v>
      </c>
      <c r="Q94" s="82">
        <f t="shared" si="44"/>
        <v>-894.06999999999971</v>
      </c>
      <c r="S94" s="201"/>
      <c r="AC94" s="42">
        <v>401.84</v>
      </c>
      <c r="AD94" s="42">
        <v>3799.07</v>
      </c>
      <c r="AE94" s="239">
        <f t="shared" si="45"/>
        <v>3397.23</v>
      </c>
    </row>
    <row r="95" spans="1:35" ht="13.5" customHeight="1" x14ac:dyDescent="0.3">
      <c r="A95" s="39"/>
      <c r="B95" s="39"/>
      <c r="C95" s="39"/>
      <c r="D95" s="39"/>
      <c r="E95" s="45" t="s">
        <v>72</v>
      </c>
      <c r="F95" s="39"/>
      <c r="G95" s="33"/>
      <c r="H95" s="33"/>
      <c r="I95" s="74">
        <f t="shared" si="41"/>
        <v>8462.36</v>
      </c>
      <c r="J95" s="74">
        <v>0</v>
      </c>
      <c r="K95" s="74">
        <f t="shared" si="42"/>
        <v>1739.9</v>
      </c>
      <c r="L95" s="206">
        <v>1350</v>
      </c>
      <c r="M95" s="206">
        <v>950</v>
      </c>
      <c r="N95" s="210"/>
      <c r="O95" s="207">
        <f t="shared" si="43"/>
        <v>12502.26</v>
      </c>
      <c r="P95" s="74">
        <f>'2025 Budget'!U94</f>
        <v>13200</v>
      </c>
      <c r="Q95" s="208">
        <f t="shared" si="44"/>
        <v>697.73999999999978</v>
      </c>
      <c r="S95" s="201"/>
      <c r="AC95" s="206">
        <v>1739.9</v>
      </c>
      <c r="AD95" s="206">
        <v>10202.26</v>
      </c>
      <c r="AE95" s="239">
        <f t="shared" si="45"/>
        <v>8462.36</v>
      </c>
    </row>
    <row r="96" spans="1:35" ht="6" customHeight="1" x14ac:dyDescent="0.3">
      <c r="A96" s="39"/>
      <c r="B96" s="39"/>
      <c r="C96" s="39"/>
      <c r="D96" s="39"/>
      <c r="E96" s="45"/>
      <c r="F96" s="39"/>
      <c r="G96" s="33"/>
      <c r="H96" s="33"/>
      <c r="I96" s="46"/>
      <c r="J96" s="100"/>
      <c r="K96" s="46"/>
      <c r="L96" s="46"/>
      <c r="M96" s="46"/>
      <c r="N96" s="46"/>
      <c r="O96" s="70"/>
      <c r="P96" s="50"/>
      <c r="Q96" s="82"/>
      <c r="S96" s="201"/>
      <c r="AC96" s="46"/>
      <c r="AD96" s="46"/>
      <c r="AE96" s="46"/>
    </row>
    <row r="97" spans="1:31" ht="13.5" customHeight="1" x14ac:dyDescent="0.3">
      <c r="A97" s="39"/>
      <c r="B97" s="39"/>
      <c r="C97" s="39"/>
      <c r="D97" s="47" t="s">
        <v>27</v>
      </c>
      <c r="E97" s="45"/>
      <c r="F97" s="39"/>
      <c r="G97" s="33"/>
      <c r="H97" s="33"/>
      <c r="I97" s="44">
        <f>SUM(I90:I96)</f>
        <v>13136.890000000001</v>
      </c>
      <c r="J97" s="268">
        <f>SUM(J90:J96)</f>
        <v>0</v>
      </c>
      <c r="K97" s="44">
        <f>SUM(K90:K96)</f>
        <v>2205.79</v>
      </c>
      <c r="L97" s="44">
        <f>SUM(L90:L96)</f>
        <v>1944.05</v>
      </c>
      <c r="M97" s="44">
        <f>SUM(M90:M96)</f>
        <v>1454.32</v>
      </c>
      <c r="N97" s="44"/>
      <c r="O97" s="72">
        <f>SUM(O90:O96)</f>
        <v>18741.05</v>
      </c>
      <c r="P97" s="44">
        <f>SUM(P90:P96)</f>
        <v>18216.8</v>
      </c>
      <c r="Q97" s="84">
        <f>SUM(Q90:Q96)</f>
        <v>-524.25</v>
      </c>
      <c r="S97" s="100">
        <f>P97-O97</f>
        <v>-524.25</v>
      </c>
      <c r="AC97" s="44">
        <f>SUM(AC90:AC96)</f>
        <v>2205.79</v>
      </c>
      <c r="AD97" s="44">
        <f>SUM(AD90:AD96)</f>
        <v>15342.68</v>
      </c>
      <c r="AE97" s="44">
        <f>SUM(AE90:AE96)</f>
        <v>13136.890000000001</v>
      </c>
    </row>
    <row r="98" spans="1:31" ht="13.5" customHeight="1" x14ac:dyDescent="0.3">
      <c r="A98" s="39"/>
      <c r="B98" s="39"/>
      <c r="C98" s="39"/>
      <c r="D98" s="45"/>
      <c r="E98" s="39"/>
      <c r="F98" s="39"/>
      <c r="G98" s="33"/>
      <c r="H98" s="33"/>
      <c r="I98" s="46"/>
      <c r="J98" s="100"/>
      <c r="K98" s="46"/>
      <c r="L98" s="46"/>
      <c r="M98" s="46"/>
      <c r="N98" s="46"/>
      <c r="O98" s="70"/>
      <c r="P98" s="50"/>
      <c r="Q98" s="82"/>
      <c r="S98" s="201"/>
      <c r="AC98" s="46"/>
      <c r="AD98" s="46"/>
      <c r="AE98" s="46"/>
    </row>
    <row r="99" spans="1:31" ht="13.5" customHeight="1" x14ac:dyDescent="0.3">
      <c r="A99" s="39"/>
      <c r="B99" s="39"/>
      <c r="C99" s="47" t="s">
        <v>28</v>
      </c>
      <c r="D99" s="33"/>
      <c r="E99" s="45"/>
      <c r="F99" s="39"/>
      <c r="G99" s="33"/>
      <c r="H99" s="33"/>
      <c r="I99" s="44">
        <f>I38+I49+I61+I79+I88+I97</f>
        <v>98980.94</v>
      </c>
      <c r="J99" s="268">
        <f>J38+J49+J61+J79+J88+J97</f>
        <v>0</v>
      </c>
      <c r="K99" s="44">
        <f>K38+K49+K61+K79+K88+K97</f>
        <v>18912.34</v>
      </c>
      <c r="L99" s="44">
        <f>L38+L49+L61+L79+L88+L97</f>
        <v>10576.561311854601</v>
      </c>
      <c r="M99" s="44">
        <f>M38+M49+M61+M79+M88+M97</f>
        <v>5582.5998047485891</v>
      </c>
      <c r="N99" s="44"/>
      <c r="O99" s="72">
        <f>O38+O49+O61+O79+O88+O97</f>
        <v>134052.44111660318</v>
      </c>
      <c r="P99" s="44">
        <f>P38+P49+P61+P79+P88+P97</f>
        <v>115876.3930446209</v>
      </c>
      <c r="Q99" s="84">
        <f>Q38+Q49+Q61+Q79+Q88+Q97</f>
        <v>-18176.048071982299</v>
      </c>
      <c r="R99" s="33"/>
      <c r="S99" s="100">
        <f>P99-O99</f>
        <v>-18176.048071982281</v>
      </c>
      <c r="AC99" s="44">
        <f>AC38+AC49+AC61+AC79+AC88+AC97</f>
        <v>18912.34</v>
      </c>
      <c r="AD99" s="44">
        <f>AD38+AD49+AD61+AD79+AD88+AD97</f>
        <v>117893.28</v>
      </c>
      <c r="AE99" s="44">
        <f>AE38+AE49+AE61+AE79+AE88+AE97</f>
        <v>98980.94</v>
      </c>
    </row>
    <row r="100" spans="1:31" ht="13.5" customHeight="1" x14ac:dyDescent="0.3">
      <c r="A100" s="39"/>
      <c r="B100" s="39"/>
      <c r="C100" s="39"/>
      <c r="D100" s="45"/>
      <c r="E100" s="45"/>
      <c r="F100" s="39"/>
      <c r="G100" s="33"/>
      <c r="H100" s="33"/>
      <c r="I100" s="50"/>
      <c r="J100" s="100"/>
      <c r="K100" s="50"/>
      <c r="L100" s="50"/>
      <c r="M100" s="50"/>
      <c r="N100" s="50"/>
      <c r="O100" s="70"/>
      <c r="P100" s="50"/>
      <c r="Q100" s="82"/>
      <c r="R100" s="33"/>
      <c r="S100" s="201"/>
      <c r="AC100" s="50"/>
      <c r="AD100" s="50"/>
      <c r="AE100" s="50"/>
    </row>
    <row r="101" spans="1:31" ht="13.5" customHeight="1" x14ac:dyDescent="0.3">
      <c r="A101" s="39"/>
      <c r="B101" s="47" t="s">
        <v>107</v>
      </c>
      <c r="C101" s="33"/>
      <c r="D101" s="45"/>
      <c r="E101" s="45"/>
      <c r="F101" s="39"/>
      <c r="G101" s="33"/>
      <c r="H101" s="33"/>
      <c r="I101" s="370">
        <f>I22-I99</f>
        <v>19514.579999999987</v>
      </c>
      <c r="J101" s="270">
        <f>J22-J99</f>
        <v>0</v>
      </c>
      <c r="K101" s="370">
        <f>K22-K99</f>
        <v>-5418.4200000000019</v>
      </c>
      <c r="L101" s="138">
        <f>L22-L99</f>
        <v>-1998.155391521268</v>
      </c>
      <c r="M101" s="138">
        <f>M22-M99</f>
        <v>3567.1259416410676</v>
      </c>
      <c r="N101" s="211"/>
      <c r="O101" s="138">
        <f>O22-O99</f>
        <v>15665.130550119793</v>
      </c>
      <c r="P101" s="138">
        <f>P22-P99</f>
        <v>30363.418429734797</v>
      </c>
      <c r="Q101" s="212">
        <f>Q99+Q22</f>
        <v>-14698.287879615029</v>
      </c>
      <c r="S101" s="100">
        <f>O101-P101</f>
        <v>-14698.287879615003</v>
      </c>
      <c r="AC101" s="370">
        <f>AC22-AC99</f>
        <v>-5418.4200000000019</v>
      </c>
      <c r="AD101" s="370">
        <f>AD22-AD99</f>
        <v>14096.160000000003</v>
      </c>
      <c r="AE101" s="370">
        <f>AE22-AE99</f>
        <v>19514.579999999987</v>
      </c>
    </row>
    <row r="102" spans="1:31" ht="13.5" customHeight="1" x14ac:dyDescent="0.3">
      <c r="A102" s="39"/>
      <c r="B102" s="39"/>
      <c r="C102" s="39"/>
      <c r="D102" s="45"/>
      <c r="E102" s="45"/>
      <c r="F102" s="39"/>
      <c r="G102" s="33"/>
      <c r="H102" s="33"/>
      <c r="I102" s="46"/>
      <c r="J102" s="100"/>
      <c r="K102" s="46"/>
      <c r="L102" s="46"/>
      <c r="M102" s="46"/>
      <c r="N102" s="46"/>
      <c r="O102" s="70"/>
      <c r="P102" s="50"/>
      <c r="Q102" s="82"/>
      <c r="S102" s="194"/>
      <c r="AC102" s="46"/>
      <c r="AD102" s="46"/>
      <c r="AE102" s="46"/>
    </row>
    <row r="103" spans="1:31" ht="13.5" customHeight="1" x14ac:dyDescent="0.3">
      <c r="A103" s="39"/>
      <c r="B103" s="39"/>
      <c r="C103" s="47" t="s">
        <v>123</v>
      </c>
      <c r="D103" s="45"/>
      <c r="E103" s="45"/>
      <c r="F103" s="39"/>
      <c r="G103" s="33"/>
      <c r="H103" s="33"/>
      <c r="I103" s="46"/>
      <c r="J103" s="100"/>
      <c r="K103" s="46"/>
      <c r="L103" s="46"/>
      <c r="M103" s="46"/>
      <c r="N103" s="46"/>
      <c r="O103" s="70"/>
      <c r="P103" s="50"/>
      <c r="Q103" s="82"/>
      <c r="S103" s="201"/>
      <c r="AC103" s="46"/>
      <c r="AD103" s="46"/>
      <c r="AE103" s="46"/>
    </row>
    <row r="104" spans="1:31" ht="13.5" customHeight="1" x14ac:dyDescent="0.3">
      <c r="A104" s="39"/>
      <c r="B104" s="39"/>
      <c r="C104" s="39"/>
      <c r="D104" s="47" t="s">
        <v>75</v>
      </c>
      <c r="E104" s="39"/>
      <c r="F104" s="33"/>
      <c r="G104" s="26"/>
      <c r="H104" s="33"/>
      <c r="I104" s="46"/>
      <c r="J104" s="100"/>
      <c r="K104" s="46"/>
      <c r="L104" s="46"/>
      <c r="M104" s="46"/>
      <c r="N104" s="46"/>
      <c r="O104" s="70"/>
      <c r="P104" s="50"/>
      <c r="Q104" s="82"/>
      <c r="S104" s="201"/>
      <c r="V104" s="52"/>
      <c r="AC104" s="46"/>
      <c r="AD104" s="46"/>
      <c r="AE104" s="46"/>
    </row>
    <row r="105" spans="1:31" ht="13.5" customHeight="1" x14ac:dyDescent="0.3">
      <c r="A105" s="39"/>
      <c r="B105" s="39"/>
      <c r="C105" s="39"/>
      <c r="D105" s="45"/>
      <c r="E105" s="143" t="s">
        <v>98</v>
      </c>
      <c r="F105" s="45"/>
      <c r="G105" s="26"/>
      <c r="H105" s="33"/>
      <c r="I105" s="42">
        <v>0</v>
      </c>
      <c r="J105" s="100">
        <v>0</v>
      </c>
      <c r="K105" s="42">
        <v>0</v>
      </c>
      <c r="L105" s="42">
        <v>0</v>
      </c>
      <c r="M105" s="42">
        <v>0</v>
      </c>
      <c r="N105" s="42"/>
      <c r="O105" s="70">
        <f>SUM(I105:N105)</f>
        <v>0</v>
      </c>
      <c r="P105" s="50">
        <f>'2025 Budget'!U104</f>
        <v>0</v>
      </c>
      <c r="Q105" s="82">
        <f t="shared" ref="Q105:Q107" si="46">P105-O105</f>
        <v>0</v>
      </c>
      <c r="S105" s="201"/>
      <c r="V105" s="52"/>
      <c r="AC105" s="42">
        <v>0</v>
      </c>
      <c r="AD105" s="42">
        <v>0</v>
      </c>
      <c r="AE105" s="239">
        <f t="shared" ref="AE105:AE107" si="47">AD105-AC105</f>
        <v>0</v>
      </c>
    </row>
    <row r="106" spans="1:31" ht="13.5" customHeight="1" x14ac:dyDescent="0.3">
      <c r="A106" s="39"/>
      <c r="B106" s="39"/>
      <c r="C106" s="39"/>
      <c r="D106" s="45"/>
      <c r="E106" s="143" t="s">
        <v>98</v>
      </c>
      <c r="F106" s="33"/>
      <c r="G106" s="26"/>
      <c r="H106" s="33"/>
      <c r="I106" s="42">
        <v>0</v>
      </c>
      <c r="J106" s="100">
        <v>0</v>
      </c>
      <c r="K106" s="42">
        <v>0</v>
      </c>
      <c r="L106" s="42">
        <v>0</v>
      </c>
      <c r="M106" s="42">
        <v>0</v>
      </c>
      <c r="N106" s="42"/>
      <c r="O106" s="70">
        <f>SUM(I106:N106)</f>
        <v>0</v>
      </c>
      <c r="P106" s="50">
        <f>'2025 Budget'!U105</f>
        <v>0</v>
      </c>
      <c r="Q106" s="82">
        <f t="shared" si="46"/>
        <v>0</v>
      </c>
      <c r="S106" s="201"/>
      <c r="V106" s="52"/>
      <c r="AC106" s="42">
        <v>0</v>
      </c>
      <c r="AD106" s="42">
        <v>0</v>
      </c>
      <c r="AE106" s="239">
        <f t="shared" si="47"/>
        <v>0</v>
      </c>
    </row>
    <row r="107" spans="1:31" ht="13.5" customHeight="1" x14ac:dyDescent="0.3">
      <c r="A107" s="39"/>
      <c r="B107" s="39"/>
      <c r="C107" s="39"/>
      <c r="D107" s="45"/>
      <c r="E107" s="171" t="s">
        <v>208</v>
      </c>
      <c r="F107" s="33"/>
      <c r="G107" s="26"/>
      <c r="H107" s="33"/>
      <c r="I107" s="42">
        <v>0</v>
      </c>
      <c r="J107" s="100">
        <v>0</v>
      </c>
      <c r="K107" s="50">
        <f>K148</f>
        <v>0</v>
      </c>
      <c r="L107" s="50">
        <f t="shared" ref="L107" si="48">L148</f>
        <v>0</v>
      </c>
      <c r="M107" s="354">
        <f>M148*0</f>
        <v>0</v>
      </c>
      <c r="N107" s="42"/>
      <c r="O107" s="70">
        <f>SUM(I107:N107)</f>
        <v>0</v>
      </c>
      <c r="P107" s="50">
        <f>'2025 Budget'!U106</f>
        <v>8650</v>
      </c>
      <c r="Q107" s="82">
        <f t="shared" si="46"/>
        <v>8650</v>
      </c>
      <c r="S107" s="201"/>
      <c r="AC107" s="50">
        <f>AC148</f>
        <v>0</v>
      </c>
      <c r="AD107" s="42">
        <v>0</v>
      </c>
      <c r="AE107" s="239">
        <f t="shared" si="47"/>
        <v>0</v>
      </c>
    </row>
    <row r="108" spans="1:31" ht="13.5" customHeight="1" x14ac:dyDescent="0.3">
      <c r="A108" s="39"/>
      <c r="B108" s="39"/>
      <c r="C108" s="33"/>
      <c r="D108" s="47" t="s">
        <v>119</v>
      </c>
      <c r="E108" s="45"/>
      <c r="F108" s="39"/>
      <c r="G108" s="33"/>
      <c r="H108" s="33"/>
      <c r="I108" s="49">
        <f>SUM(I105:I107)</f>
        <v>0</v>
      </c>
      <c r="J108" s="271">
        <f t="shared" ref="J108:K108" si="49">SUM(J105:J107)</f>
        <v>0</v>
      </c>
      <c r="K108" s="49">
        <f t="shared" si="49"/>
        <v>0</v>
      </c>
      <c r="L108" s="49">
        <f>SUM(L105:L107)</f>
        <v>0</v>
      </c>
      <c r="M108" s="49">
        <f>SUM(M105:M107)</f>
        <v>0</v>
      </c>
      <c r="N108" s="49"/>
      <c r="O108" s="73">
        <f>SUM(O105:O107)</f>
        <v>0</v>
      </c>
      <c r="P108" s="49">
        <f>SUM(P105:P107)</f>
        <v>8650</v>
      </c>
      <c r="Q108" s="85">
        <f>SUM(Q105:Q107)</f>
        <v>8650</v>
      </c>
      <c r="R108" s="33"/>
      <c r="S108" s="100">
        <f>O108-P108</f>
        <v>-8650</v>
      </c>
      <c r="AC108" s="49">
        <f t="shared" ref="AC108" si="50">SUM(AC105:AC107)</f>
        <v>0</v>
      </c>
      <c r="AD108" s="49">
        <f>SUM(AD105:AD107)</f>
        <v>0</v>
      </c>
      <c r="AE108" s="49">
        <f t="shared" ref="AE108" si="51">SUM(AE105:AE107)</f>
        <v>0</v>
      </c>
    </row>
    <row r="109" spans="1:31" ht="13.5" customHeight="1" x14ac:dyDescent="0.3">
      <c r="A109" s="39"/>
      <c r="B109" s="39"/>
      <c r="C109" s="39"/>
      <c r="D109" s="45"/>
      <c r="E109" s="45"/>
      <c r="F109" s="39"/>
      <c r="G109" s="33"/>
      <c r="H109" s="33"/>
      <c r="I109" s="50"/>
      <c r="J109" s="100"/>
      <c r="K109" s="50"/>
      <c r="L109" s="50"/>
      <c r="M109" s="50"/>
      <c r="N109" s="50"/>
      <c r="O109" s="70"/>
      <c r="P109" s="50"/>
      <c r="Q109" s="82"/>
      <c r="R109" s="33"/>
      <c r="S109" s="201"/>
      <c r="AC109" s="50"/>
      <c r="AD109" s="50"/>
      <c r="AE109" s="50"/>
    </row>
    <row r="110" spans="1:31" ht="19.5" customHeight="1" x14ac:dyDescent="0.3">
      <c r="A110" s="39"/>
      <c r="B110" s="47" t="s">
        <v>108</v>
      </c>
      <c r="C110" s="45"/>
      <c r="D110" s="45"/>
      <c r="E110" s="45"/>
      <c r="F110" s="39"/>
      <c r="G110" s="33"/>
      <c r="H110" s="33"/>
      <c r="I110" s="138">
        <f>I101-I108</f>
        <v>19514.579999999987</v>
      </c>
      <c r="J110" s="270">
        <f t="shared" ref="J110:K110" si="52">J101-J108</f>
        <v>0</v>
      </c>
      <c r="K110" s="138">
        <f t="shared" si="52"/>
        <v>-5418.4200000000019</v>
      </c>
      <c r="L110" s="138">
        <f>L101-L108</f>
        <v>-1998.155391521268</v>
      </c>
      <c r="M110" s="138">
        <f>M101-M108</f>
        <v>3567.1259416410676</v>
      </c>
      <c r="N110" s="138"/>
      <c r="O110" s="139">
        <f>O101-O108</f>
        <v>15665.130550119793</v>
      </c>
      <c r="P110" s="138">
        <f>P101-P108</f>
        <v>21713.418429734797</v>
      </c>
      <c r="Q110" s="212">
        <f>Q108+Q101</f>
        <v>-6048.2878796150289</v>
      </c>
      <c r="R110" s="33"/>
      <c r="S110" s="100">
        <f>O110-P110</f>
        <v>-6048.2878796150035</v>
      </c>
      <c r="U110" s="54"/>
      <c r="AC110" s="138">
        <f t="shared" ref="AC110" si="53">AC101-AC108</f>
        <v>-5418.4200000000019</v>
      </c>
      <c r="AD110" s="138">
        <f>AD101-AD108</f>
        <v>14096.160000000003</v>
      </c>
      <c r="AE110" s="138">
        <f t="shared" ref="AE110" si="54">AE101-AE108</f>
        <v>19514.579999999987</v>
      </c>
    </row>
    <row r="111" spans="1:31" ht="13.5" customHeight="1" x14ac:dyDescent="0.3">
      <c r="A111" s="39"/>
      <c r="B111" s="39"/>
      <c r="C111" s="39"/>
      <c r="D111" s="45"/>
      <c r="E111" s="45"/>
      <c r="F111" s="45"/>
      <c r="G111" s="39"/>
      <c r="H111" s="33"/>
      <c r="I111" s="101">
        <f>19514.59-I110-0.16</f>
        <v>-0.1499999999870488</v>
      </c>
      <c r="J111" s="100"/>
      <c r="K111" s="53"/>
      <c r="L111" s="50"/>
      <c r="M111" s="50"/>
      <c r="N111" s="50"/>
      <c r="O111" s="70"/>
      <c r="P111" s="101">
        <f>'2025 Budget'!U109-P110</f>
        <v>0</v>
      </c>
      <c r="Q111" s="176"/>
      <c r="R111" s="33"/>
      <c r="S111" s="194"/>
      <c r="AC111" s="101"/>
      <c r="AD111" s="101">
        <f>19514.59-AD110-0.16</f>
        <v>5418.2699999999968</v>
      </c>
      <c r="AE111" s="101"/>
    </row>
    <row r="112" spans="1:31" ht="13.5" customHeight="1" x14ac:dyDescent="0.3">
      <c r="A112" s="39"/>
      <c r="B112" s="39"/>
      <c r="C112" s="39"/>
      <c r="D112" s="45"/>
      <c r="E112" s="45"/>
      <c r="F112" s="45"/>
      <c r="G112" s="39"/>
      <c r="H112" s="33"/>
      <c r="I112" s="53"/>
      <c r="J112" s="100"/>
      <c r="K112" s="50"/>
      <c r="L112" s="50"/>
      <c r="M112" s="50"/>
      <c r="N112" s="50"/>
      <c r="O112" s="70"/>
      <c r="P112" s="53"/>
      <c r="Q112" s="176"/>
      <c r="R112" s="33"/>
      <c r="S112" s="194"/>
      <c r="AC112" s="100"/>
      <c r="AD112" s="101"/>
      <c r="AE112" s="100"/>
    </row>
    <row r="113" spans="1:31" ht="13.5" customHeight="1" x14ac:dyDescent="0.3">
      <c r="A113" s="39"/>
      <c r="B113" s="39"/>
      <c r="C113" s="39" t="s">
        <v>129</v>
      </c>
      <c r="D113" s="45"/>
      <c r="E113" s="45"/>
      <c r="F113" s="45"/>
      <c r="G113" s="39"/>
      <c r="H113" s="33"/>
      <c r="I113" s="50">
        <f t="shared" ref="I113:M113" si="55">I128</f>
        <v>12446.309999999998</v>
      </c>
      <c r="J113" s="100">
        <v>0</v>
      </c>
      <c r="K113" s="50">
        <f t="shared" si="55"/>
        <v>1004.283373489011</v>
      </c>
      <c r="L113" s="50">
        <f t="shared" si="55"/>
        <v>1017.4086881453986</v>
      </c>
      <c r="M113" s="354">
        <f t="shared" si="55"/>
        <v>6025.6401952514107</v>
      </c>
      <c r="N113" s="50"/>
      <c r="O113" s="70">
        <f>SUM(I113:N113)</f>
        <v>20493.642256885818</v>
      </c>
      <c r="P113" s="50">
        <f>'2025 Budget'!U112</f>
        <v>11988.665275379106</v>
      </c>
      <c r="Q113" s="82">
        <f t="shared" ref="Q113" si="56">P113-O113</f>
        <v>-8504.976981506712</v>
      </c>
      <c r="S113" s="201"/>
      <c r="AC113" s="100" t="e">
        <f t="shared" ref="AC113" si="57">AC128</f>
        <v>#REF!</v>
      </c>
      <c r="AD113" s="100">
        <f t="shared" ref="AD113" si="58">AD128</f>
        <v>13664.489999999998</v>
      </c>
      <c r="AE113" s="266" t="e">
        <f>AD113-AC113</f>
        <v>#REF!</v>
      </c>
    </row>
    <row r="114" spans="1:31" ht="13.5" customHeight="1" x14ac:dyDescent="0.3">
      <c r="A114" s="39"/>
      <c r="B114" s="39"/>
      <c r="C114" s="39"/>
      <c r="D114" s="45"/>
      <c r="E114" s="45"/>
      <c r="F114" s="45"/>
      <c r="G114" s="39"/>
      <c r="H114" s="33"/>
      <c r="I114" s="53"/>
      <c r="J114" s="100"/>
      <c r="K114" s="50"/>
      <c r="L114" s="50"/>
      <c r="M114" s="50"/>
      <c r="N114" s="50"/>
      <c r="O114" s="70"/>
      <c r="P114" s="53"/>
      <c r="Q114" s="176"/>
      <c r="R114" s="33"/>
      <c r="S114" s="194"/>
      <c r="AC114" s="100"/>
      <c r="AD114" s="101"/>
      <c r="AE114" s="100"/>
    </row>
    <row r="115" spans="1:31" ht="13.5" customHeight="1" thickBot="1" x14ac:dyDescent="0.35">
      <c r="A115" s="39"/>
      <c r="B115" s="45"/>
      <c r="C115" s="45"/>
      <c r="D115" s="47" t="s">
        <v>162</v>
      </c>
      <c r="E115" s="45"/>
      <c r="F115" s="45"/>
      <c r="G115" s="39"/>
      <c r="H115" s="33"/>
      <c r="I115" s="252">
        <f>I110-I113</f>
        <v>7068.2699999999895</v>
      </c>
      <c r="J115" s="272">
        <f t="shared" ref="J115:M115" si="59">J110-J113</f>
        <v>0</v>
      </c>
      <c r="K115" s="252">
        <f t="shared" si="59"/>
        <v>-6422.7033734890128</v>
      </c>
      <c r="L115" s="252">
        <f t="shared" si="59"/>
        <v>-3015.5640796666667</v>
      </c>
      <c r="M115" s="252">
        <f t="shared" si="59"/>
        <v>-2458.5142536103431</v>
      </c>
      <c r="N115" s="253"/>
      <c r="O115" s="254">
        <f>SUM(I115:N115)</f>
        <v>-4828.5117067660331</v>
      </c>
      <c r="P115" s="252">
        <f t="shared" ref="P115" si="60">P110-P113</f>
        <v>9724.7531543556906</v>
      </c>
      <c r="Q115" s="255">
        <f t="shared" ref="Q115" si="61">O115-P115</f>
        <v>-14553.264861121723</v>
      </c>
      <c r="AC115" s="272" t="e">
        <f t="shared" ref="AC115" si="62">AC110-AC113</f>
        <v>#REF!</v>
      </c>
      <c r="AD115" s="272">
        <f>AD110-AD113</f>
        <v>431.67000000000553</v>
      </c>
      <c r="AE115" s="272" t="e">
        <f t="shared" ref="AE115" si="63">AE110-AE113</f>
        <v>#REF!</v>
      </c>
    </row>
    <row r="116" spans="1:31" ht="13.5" customHeight="1" thickTop="1" x14ac:dyDescent="0.3">
      <c r="A116" s="39"/>
      <c r="B116" s="45"/>
      <c r="C116" s="45"/>
      <c r="D116" s="45"/>
      <c r="E116" s="45"/>
      <c r="F116" s="45"/>
      <c r="G116" s="39"/>
      <c r="H116" s="33"/>
      <c r="I116" s="46"/>
      <c r="J116" s="100"/>
      <c r="K116" s="46"/>
      <c r="L116" s="46"/>
      <c r="M116" s="46"/>
      <c r="N116" s="46"/>
      <c r="O116" s="70"/>
      <c r="P116" s="101"/>
      <c r="Q116" s="218"/>
      <c r="AC116" s="100"/>
      <c r="AD116" s="100"/>
      <c r="AE116" s="100"/>
    </row>
    <row r="117" spans="1:31" x14ac:dyDescent="0.3">
      <c r="A117" s="5"/>
      <c r="B117" s="5"/>
      <c r="C117" s="5"/>
      <c r="D117" s="5"/>
      <c r="E117" s="11"/>
      <c r="F117" s="5"/>
      <c r="G117" s="5"/>
      <c r="H117" s="33"/>
      <c r="I117" s="5"/>
      <c r="J117" s="199"/>
      <c r="K117" s="5"/>
      <c r="L117" s="5"/>
      <c r="M117" s="5"/>
      <c r="N117" s="54"/>
      <c r="O117" s="91"/>
      <c r="Q117" s="219"/>
      <c r="AC117" s="199"/>
      <c r="AD117" s="199"/>
      <c r="AE117" s="199"/>
    </row>
    <row r="118" spans="1:31" x14ac:dyDescent="0.3">
      <c r="A118" s="56" t="s">
        <v>45</v>
      </c>
      <c r="B118" s="5"/>
      <c r="C118" s="5"/>
      <c r="D118" s="5"/>
      <c r="E118" s="57"/>
      <c r="F118" s="5"/>
      <c r="G118" s="5"/>
      <c r="H118" s="33"/>
      <c r="I118" s="333" t="s">
        <v>226</v>
      </c>
      <c r="J118" s="199"/>
      <c r="K118" s="333" t="s">
        <v>236</v>
      </c>
      <c r="L118" s="5"/>
      <c r="M118" s="5"/>
      <c r="N118" s="54"/>
      <c r="O118" s="91"/>
      <c r="Q118" s="219"/>
      <c r="AC118" s="395" t="s">
        <v>236</v>
      </c>
      <c r="AD118" s="395" t="s">
        <v>226</v>
      </c>
      <c r="AE118" s="395" t="s">
        <v>236</v>
      </c>
    </row>
    <row r="119" spans="1:31" x14ac:dyDescent="0.3">
      <c r="A119" s="5"/>
      <c r="B119" s="7" t="s">
        <v>46</v>
      </c>
      <c r="C119" s="5"/>
      <c r="D119" s="5"/>
      <c r="E119" s="5"/>
      <c r="F119" s="5"/>
      <c r="G119" s="5"/>
      <c r="H119" s="33"/>
      <c r="I119" s="326">
        <v>22947.22</v>
      </c>
      <c r="J119" s="273">
        <f t="shared" ref="J119" si="64">I119-J115</f>
        <v>22947.22</v>
      </c>
      <c r="K119" s="326">
        <v>16301.09</v>
      </c>
      <c r="L119" s="173">
        <f>K119+L115</f>
        <v>13285.525920333333</v>
      </c>
      <c r="M119" s="173">
        <f>L119+M115</f>
        <v>10827.01166672299</v>
      </c>
      <c r="N119" s="89"/>
      <c r="O119" s="92">
        <f>M119</f>
        <v>10827.01166672299</v>
      </c>
      <c r="P119" s="347">
        <f>'2025 Budget'!U119</f>
        <v>15137.998466965928</v>
      </c>
      <c r="Q119" s="82">
        <f>O119-P119</f>
        <v>-4310.9868002429375</v>
      </c>
      <c r="AC119" s="273">
        <v>15949.58</v>
      </c>
      <c r="AD119" s="273">
        <v>22595.7</v>
      </c>
      <c r="AE119" s="266">
        <f t="shared" ref="AE119:AE120" si="65">AD119-AC119</f>
        <v>6646.1200000000008</v>
      </c>
    </row>
    <row r="120" spans="1:31" x14ac:dyDescent="0.3">
      <c r="A120" s="5"/>
      <c r="B120" s="61" t="s">
        <v>77</v>
      </c>
      <c r="C120" s="5"/>
      <c r="D120" s="58"/>
      <c r="E120" s="5"/>
      <c r="F120" s="5"/>
      <c r="G120" s="5"/>
      <c r="H120" s="33"/>
      <c r="I120" s="214">
        <v>10027.870000000001</v>
      </c>
      <c r="J120" s="274">
        <f t="shared" ref="J120:L120" si="66">+I120</f>
        <v>10027.870000000001</v>
      </c>
      <c r="K120" s="214">
        <v>10037.66</v>
      </c>
      <c r="L120" s="89">
        <f t="shared" si="66"/>
        <v>10037.66</v>
      </c>
      <c r="M120" s="89">
        <f>+L120</f>
        <v>10037.66</v>
      </c>
      <c r="N120" s="89"/>
      <c r="O120" s="92">
        <f>M120</f>
        <v>10037.66</v>
      </c>
      <c r="P120" s="348">
        <f>'2025 Budget'!U120</f>
        <v>7259.94</v>
      </c>
      <c r="Q120" s="82">
        <f>O120-P120</f>
        <v>2777.7200000000003</v>
      </c>
      <c r="AC120" s="274">
        <v>10037.66</v>
      </c>
      <c r="AD120" s="274">
        <v>10027.969999999999</v>
      </c>
      <c r="AE120" s="266">
        <f t="shared" si="65"/>
        <v>-9.6900000000005093</v>
      </c>
    </row>
    <row r="121" spans="1:31" ht="9" customHeight="1" x14ac:dyDescent="0.3">
      <c r="A121" s="5"/>
      <c r="B121" s="5"/>
      <c r="C121" s="5"/>
      <c r="D121" s="5"/>
      <c r="E121" s="5"/>
      <c r="F121" s="5"/>
      <c r="G121" s="5"/>
      <c r="H121" s="33"/>
      <c r="I121" s="198"/>
      <c r="J121" s="198"/>
      <c r="K121" s="59"/>
      <c r="L121" s="59"/>
      <c r="M121" s="59"/>
      <c r="N121" s="59"/>
      <c r="O121" s="93"/>
      <c r="P121" s="59"/>
      <c r="Q121" s="220"/>
      <c r="AC121" s="198"/>
      <c r="AD121" s="198"/>
      <c r="AE121" s="198"/>
    </row>
    <row r="122" spans="1:31" ht="14.4" thickBot="1" x14ac:dyDescent="0.35">
      <c r="A122" s="5"/>
      <c r="B122" s="5"/>
      <c r="C122" s="5"/>
      <c r="D122" s="10"/>
      <c r="E122" s="5"/>
      <c r="F122" s="5"/>
      <c r="G122" s="5"/>
      <c r="H122" s="278"/>
      <c r="I122" s="213">
        <f>SUM(I118:I121)</f>
        <v>32975.090000000004</v>
      </c>
      <c r="J122" s="275">
        <f t="shared" ref="J122:K122" si="67">SUM(J118:J121)</f>
        <v>32975.090000000004</v>
      </c>
      <c r="K122" s="12">
        <f t="shared" si="67"/>
        <v>26338.75</v>
      </c>
      <c r="L122" s="12">
        <f>SUM(L118:L121)</f>
        <v>23323.185920333333</v>
      </c>
      <c r="M122" s="12">
        <f>SUM(M118:M121)</f>
        <v>20864.671666722992</v>
      </c>
      <c r="N122" s="12"/>
      <c r="O122" s="94">
        <f>SUM(O118:O121)</f>
        <v>20864.671666722992</v>
      </c>
      <c r="P122" s="12">
        <f>SUM(P118:P121)</f>
        <v>22397.938466965927</v>
      </c>
      <c r="Q122" s="221">
        <f>Q120+Q119</f>
        <v>-1533.2668002429373</v>
      </c>
      <c r="AC122" s="275">
        <f t="shared" ref="AC122" si="68">SUM(AC118:AC121)</f>
        <v>25987.239999999998</v>
      </c>
      <c r="AD122" s="275">
        <f>SUM(AD118:AD121)</f>
        <v>32623.67</v>
      </c>
      <c r="AE122" s="275">
        <f t="shared" ref="AE122" si="69">SUM(AE118:AE121)</f>
        <v>6636.43</v>
      </c>
    </row>
    <row r="123" spans="1:31" ht="14.4" thickTop="1" x14ac:dyDescent="0.3">
      <c r="E123" s="5"/>
      <c r="F123" s="5"/>
      <c r="G123" s="5"/>
      <c r="H123" s="33"/>
      <c r="I123" s="199"/>
      <c r="J123" s="199"/>
      <c r="K123" s="5"/>
      <c r="L123" s="5"/>
      <c r="M123" s="5"/>
      <c r="N123" s="5"/>
      <c r="O123" s="95"/>
      <c r="P123" s="277">
        <f>P122-'2025 Budget'!U122</f>
        <v>0</v>
      </c>
      <c r="Q123" s="222"/>
      <c r="AC123" s="199"/>
      <c r="AD123" s="199"/>
      <c r="AE123" s="199"/>
    </row>
    <row r="124" spans="1:31" x14ac:dyDescent="0.3">
      <c r="E124" s="5"/>
      <c r="F124" s="5"/>
      <c r="G124" s="5"/>
      <c r="H124" s="33"/>
      <c r="I124" s="200"/>
      <c r="J124" s="199"/>
      <c r="K124" s="5"/>
      <c r="L124" s="5"/>
      <c r="M124" s="5"/>
      <c r="N124" s="5"/>
      <c r="O124" s="107"/>
      <c r="P124" s="108"/>
      <c r="Q124" s="108"/>
      <c r="AC124" s="199"/>
      <c r="AD124" s="200"/>
      <c r="AE124" s="199"/>
    </row>
    <row r="125" spans="1:31" x14ac:dyDescent="0.3">
      <c r="H125" s="201"/>
      <c r="I125" s="201"/>
      <c r="J125" s="201"/>
      <c r="P125" s="102"/>
      <c r="Q125" s="5"/>
      <c r="AC125" s="201"/>
      <c r="AD125" s="201"/>
      <c r="AE125" s="201"/>
    </row>
    <row r="126" spans="1:31" outlineLevel="1" x14ac:dyDescent="0.3">
      <c r="A126" s="106" t="s">
        <v>80</v>
      </c>
      <c r="H126" s="201"/>
      <c r="I126" s="373" t="s">
        <v>227</v>
      </c>
      <c r="J126" s="201"/>
      <c r="P126" s="251"/>
      <c r="Q126" s="60"/>
      <c r="AC126" s="201"/>
      <c r="AD126" s="396" t="s">
        <v>227</v>
      </c>
      <c r="AE126" s="201"/>
    </row>
    <row r="127" spans="1:31" outlineLevel="1" x14ac:dyDescent="0.3">
      <c r="B127" s="25" t="s">
        <v>81</v>
      </c>
      <c r="H127" s="201"/>
      <c r="I127" s="206">
        <f>52675</f>
        <v>52675</v>
      </c>
      <c r="J127" s="269">
        <f t="shared" ref="J127:L127" si="70">I132</f>
        <v>40228.69</v>
      </c>
      <c r="K127" s="74">
        <f t="shared" si="70"/>
        <v>40228.69</v>
      </c>
      <c r="L127" s="74">
        <f t="shared" si="70"/>
        <v>39224.406626510994</v>
      </c>
      <c r="M127" s="74">
        <f>L132</f>
        <v>38206.997938365595</v>
      </c>
      <c r="O127" s="42"/>
      <c r="P127" s="26"/>
      <c r="Q127" s="53"/>
      <c r="AC127" s="269" t="e">
        <f>#REF!</f>
        <v>#REF!</v>
      </c>
      <c r="AD127" s="269">
        <v>52675.28</v>
      </c>
      <c r="AE127" s="269" t="e">
        <f>#REF!</f>
        <v>#REF!</v>
      </c>
    </row>
    <row r="128" spans="1:31" outlineLevel="1" x14ac:dyDescent="0.3">
      <c r="C128" s="110" t="s">
        <v>84</v>
      </c>
      <c r="H128" s="201"/>
      <c r="I128" s="50">
        <f>I127-I132</f>
        <v>12446.309999999998</v>
      </c>
      <c r="J128" s="100">
        <f t="shared" ref="J128:K128" si="71">J130-J129</f>
        <v>0</v>
      </c>
      <c r="K128" s="50">
        <f t="shared" si="71"/>
        <v>1004.283373489011</v>
      </c>
      <c r="L128" s="50">
        <f>L130-L129</f>
        <v>1017.4086881453986</v>
      </c>
      <c r="M128" s="50">
        <f>M130-M129</f>
        <v>6025.6401952514107</v>
      </c>
      <c r="O128" s="42"/>
      <c r="AC128" s="100" t="e">
        <f t="shared" ref="AC128" si="72">AC130-AC129</f>
        <v>#REF!</v>
      </c>
      <c r="AD128" s="100">
        <f>AD127-AD132</f>
        <v>13664.489999999998</v>
      </c>
      <c r="AE128" s="100" t="e">
        <f t="shared" ref="AE128" si="73">AE130-AE129</f>
        <v>#REF!</v>
      </c>
    </row>
    <row r="129" spans="3:31" outlineLevel="1" x14ac:dyDescent="0.3">
      <c r="C129" s="110" t="s">
        <v>83</v>
      </c>
      <c r="F129" s="109"/>
      <c r="G129" s="328">
        <v>9.5000000000000001E-2</v>
      </c>
      <c r="H129" s="202"/>
      <c r="I129" s="371">
        <v>3349.27</v>
      </c>
      <c r="J129" s="276">
        <v>0</v>
      </c>
      <c r="K129" s="111">
        <f>($G129*31/364)*K127+5</f>
        <v>330.47662651098904</v>
      </c>
      <c r="L129" s="111">
        <f t="shared" ref="L129:M129" si="74">($G129*31/364)*L127</f>
        <v>317.35131185460131</v>
      </c>
      <c r="M129" s="111">
        <f t="shared" si="74"/>
        <v>309.11980474858979</v>
      </c>
      <c r="O129" s="42"/>
      <c r="AC129" s="276" t="e">
        <f>($G129*31/364)*AC127+5</f>
        <v>#REF!</v>
      </c>
      <c r="AD129" s="397">
        <v>3349.27</v>
      </c>
      <c r="AE129" s="276" t="e">
        <f>($G129*31/364)*AE127+5</f>
        <v>#REF!</v>
      </c>
    </row>
    <row r="130" spans="3:31" outlineLevel="1" x14ac:dyDescent="0.3">
      <c r="D130" s="25" t="s">
        <v>85</v>
      </c>
      <c r="H130" s="201"/>
      <c r="I130" s="50">
        <f>I129+I128</f>
        <v>15795.579999999998</v>
      </c>
      <c r="J130" s="100">
        <f>I130*0</f>
        <v>0</v>
      </c>
      <c r="K130" s="42">
        <v>1334.76</v>
      </c>
      <c r="L130" s="50">
        <f t="shared" ref="L130" si="75">K130</f>
        <v>1334.76</v>
      </c>
      <c r="M130" s="354">
        <f>L130+M146</f>
        <v>6334.76</v>
      </c>
      <c r="O130" s="42"/>
      <c r="AC130" s="100">
        <v>1334.76</v>
      </c>
      <c r="AD130" s="100">
        <f>AD129+AD128</f>
        <v>17013.759999999998</v>
      </c>
      <c r="AE130" s="100">
        <v>1334.76</v>
      </c>
    </row>
    <row r="131" spans="3:31" outlineLevel="1" x14ac:dyDescent="0.3">
      <c r="C131" s="25" t="s">
        <v>82</v>
      </c>
      <c r="H131" s="203"/>
      <c r="I131" s="42">
        <v>0</v>
      </c>
      <c r="J131" s="100">
        <v>0</v>
      </c>
      <c r="K131" s="42">
        <v>0</v>
      </c>
      <c r="L131" s="42">
        <v>0</v>
      </c>
      <c r="M131" s="42">
        <v>0</v>
      </c>
      <c r="O131" s="42"/>
      <c r="AC131" s="100">
        <v>0</v>
      </c>
      <c r="AD131" s="100">
        <v>0</v>
      </c>
      <c r="AE131" s="100">
        <v>0</v>
      </c>
    </row>
    <row r="132" spans="3:31" outlineLevel="1" x14ac:dyDescent="0.3">
      <c r="D132" s="110" t="s">
        <v>86</v>
      </c>
      <c r="H132" s="204"/>
      <c r="I132" s="372">
        <v>40228.69</v>
      </c>
      <c r="J132" s="271">
        <f t="shared" ref="J132:K132" si="76">J127+J131-J128</f>
        <v>40228.69</v>
      </c>
      <c r="K132" s="49">
        <f t="shared" si="76"/>
        <v>39224.406626510994</v>
      </c>
      <c r="L132" s="49">
        <f>L127+L131-L128</f>
        <v>38206.997938365595</v>
      </c>
      <c r="M132" s="49">
        <f>M127+M131-M128</f>
        <v>32181.357743114186</v>
      </c>
      <c r="O132" s="42"/>
      <c r="AC132" s="271" t="e">
        <f t="shared" ref="AC132" si="77">AC127+AC131-AC128</f>
        <v>#REF!</v>
      </c>
      <c r="AD132" s="398">
        <v>39010.79</v>
      </c>
      <c r="AE132" s="271" t="e">
        <f t="shared" ref="AE132" si="78">AE127+AE131-AE128</f>
        <v>#REF!</v>
      </c>
    </row>
    <row r="133" spans="3:31" outlineLevel="1" x14ac:dyDescent="0.3">
      <c r="H133" s="201"/>
      <c r="I133" s="100"/>
      <c r="J133" s="100"/>
      <c r="K133" s="42"/>
      <c r="L133" s="42"/>
      <c r="M133" s="42"/>
      <c r="O133" s="42"/>
      <c r="AC133" s="100"/>
      <c r="AD133" s="100"/>
      <c r="AE133" s="100"/>
    </row>
    <row r="134" spans="3:31" outlineLevel="1" x14ac:dyDescent="0.3">
      <c r="H134" s="202"/>
      <c r="I134" s="42">
        <v>30</v>
      </c>
      <c r="J134" s="100">
        <v>30</v>
      </c>
      <c r="K134" s="42">
        <v>31</v>
      </c>
      <c r="L134" s="42">
        <v>30</v>
      </c>
      <c r="M134" s="42">
        <v>31</v>
      </c>
      <c r="O134" s="42"/>
      <c r="AC134" s="100">
        <v>31</v>
      </c>
      <c r="AD134" s="100">
        <v>30</v>
      </c>
      <c r="AE134" s="100">
        <v>31</v>
      </c>
    </row>
    <row r="135" spans="3:31" x14ac:dyDescent="0.3">
      <c r="H135" s="109"/>
      <c r="I135" s="109"/>
      <c r="J135" s="42"/>
      <c r="K135" s="42"/>
      <c r="L135" s="42"/>
      <c r="M135" s="42"/>
      <c r="N135" s="42"/>
      <c r="O135" s="42"/>
      <c r="AC135" s="100"/>
      <c r="AD135" s="202"/>
      <c r="AE135" s="100"/>
    </row>
    <row r="136" spans="3:31" x14ac:dyDescent="0.3">
      <c r="H136" s="109"/>
      <c r="I136" s="178"/>
      <c r="J136" s="42"/>
      <c r="K136" s="42"/>
      <c r="L136" s="42"/>
      <c r="M136" s="42"/>
      <c r="N136" s="42"/>
      <c r="O136" s="42"/>
      <c r="AC136" s="100"/>
      <c r="AD136" s="399"/>
      <c r="AE136" s="100"/>
    </row>
    <row r="137" spans="3:31" x14ac:dyDescent="0.3">
      <c r="H137" s="109"/>
      <c r="I137" s="177"/>
      <c r="AC137" s="201"/>
      <c r="AD137" s="400"/>
      <c r="AE137" s="201"/>
    </row>
    <row r="138" spans="3:31" x14ac:dyDescent="0.3">
      <c r="G138" s="156" t="str">
        <f>E107</f>
        <v>2025 - Project Spending Summary</v>
      </c>
      <c r="H138" s="157"/>
      <c r="I138" s="25"/>
      <c r="J138" s="25"/>
      <c r="AC138" s="201"/>
      <c r="AD138" s="201"/>
      <c r="AE138" s="201"/>
    </row>
    <row r="139" spans="3:31" x14ac:dyDescent="0.3">
      <c r="G139" s="258" t="s">
        <v>217</v>
      </c>
      <c r="H139" s="146">
        <f t="shared" ref="H139:H143" si="79">SUM(I139:M139)</f>
        <v>0</v>
      </c>
      <c r="I139" s="42">
        <v>0</v>
      </c>
      <c r="J139" s="42">
        <v>0</v>
      </c>
      <c r="K139" s="42">
        <v>0</v>
      </c>
      <c r="L139" s="42">
        <f>12000*0</f>
        <v>0</v>
      </c>
      <c r="M139" s="42">
        <v>0</v>
      </c>
      <c r="AC139" s="100">
        <v>0</v>
      </c>
      <c r="AD139" s="100">
        <v>0</v>
      </c>
      <c r="AE139" s="266">
        <f t="shared" ref="AE139:AE146" si="80">AD139-AC139</f>
        <v>0</v>
      </c>
    </row>
    <row r="140" spans="3:31" x14ac:dyDescent="0.3">
      <c r="G140" s="387" t="s">
        <v>192</v>
      </c>
      <c r="H140" s="146">
        <f t="shared" si="79"/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AC140" s="100">
        <v>0</v>
      </c>
      <c r="AD140" s="100">
        <v>0</v>
      </c>
      <c r="AE140" s="266">
        <f t="shared" si="80"/>
        <v>0</v>
      </c>
    </row>
    <row r="141" spans="3:31" x14ac:dyDescent="0.3">
      <c r="G141" s="379" t="s">
        <v>229</v>
      </c>
      <c r="H141" s="146">
        <f t="shared" si="79"/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AC141" s="100">
        <v>0</v>
      </c>
      <c r="AD141" s="100">
        <v>0</v>
      </c>
      <c r="AE141" s="266">
        <f t="shared" si="80"/>
        <v>0</v>
      </c>
    </row>
    <row r="142" spans="3:31" x14ac:dyDescent="0.3">
      <c r="G142" s="387" t="s">
        <v>213</v>
      </c>
      <c r="H142" s="146">
        <f t="shared" si="79"/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AC142" s="100">
        <v>0</v>
      </c>
      <c r="AD142" s="100">
        <v>0</v>
      </c>
      <c r="AE142" s="266">
        <f t="shared" si="80"/>
        <v>0</v>
      </c>
    </row>
    <row r="143" spans="3:31" x14ac:dyDescent="0.3">
      <c r="G143" s="387" t="s">
        <v>197</v>
      </c>
      <c r="H143" s="146">
        <f t="shared" si="79"/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AC143" s="100">
        <v>0</v>
      </c>
      <c r="AD143" s="100">
        <v>0</v>
      </c>
      <c r="AE143" s="266">
        <f t="shared" si="80"/>
        <v>0</v>
      </c>
    </row>
    <row r="144" spans="3:31" x14ac:dyDescent="0.3">
      <c r="G144" s="258" t="s">
        <v>216</v>
      </c>
      <c r="H144" s="146">
        <f>SUM(I144:M144)</f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AC144" s="100">
        <v>0</v>
      </c>
      <c r="AD144" s="100">
        <v>0</v>
      </c>
      <c r="AE144" s="266">
        <f t="shared" si="80"/>
        <v>0</v>
      </c>
    </row>
    <row r="145" spans="7:31" x14ac:dyDescent="0.3">
      <c r="G145" s="388" t="s">
        <v>202</v>
      </c>
      <c r="H145" s="146">
        <f t="shared" ref="H145:H146" si="81">SUM(I145:M145)</f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AC145" s="100">
        <v>0</v>
      </c>
      <c r="AD145" s="100">
        <v>0</v>
      </c>
      <c r="AE145" s="266">
        <f t="shared" si="80"/>
        <v>0</v>
      </c>
    </row>
    <row r="146" spans="7:31" x14ac:dyDescent="0.3">
      <c r="G146" s="353" t="s">
        <v>196</v>
      </c>
      <c r="H146" s="146">
        <f t="shared" si="81"/>
        <v>5000</v>
      </c>
      <c r="I146" s="42">
        <v>0</v>
      </c>
      <c r="J146" s="42">
        <v>0</v>
      </c>
      <c r="K146" s="42">
        <v>0</v>
      </c>
      <c r="L146" s="42">
        <v>0</v>
      </c>
      <c r="M146" s="354">
        <v>5000</v>
      </c>
      <c r="N146" s="26" t="s">
        <v>203</v>
      </c>
      <c r="AC146" s="100">
        <v>0</v>
      </c>
      <c r="AD146" s="100">
        <v>0</v>
      </c>
      <c r="AE146" s="266">
        <f t="shared" si="80"/>
        <v>0</v>
      </c>
    </row>
    <row r="147" spans="7:31" x14ac:dyDescent="0.3">
      <c r="AC147" s="201"/>
      <c r="AD147" s="201"/>
      <c r="AE147" s="201"/>
    </row>
    <row r="148" spans="7:31" x14ac:dyDescent="0.3">
      <c r="I148" s="49">
        <f t="shared" ref="I148:M148" si="82">SUM(I139:I147)</f>
        <v>0</v>
      </c>
      <c r="J148" s="49">
        <f t="shared" si="82"/>
        <v>0</v>
      </c>
      <c r="K148" s="49">
        <f t="shared" si="82"/>
        <v>0</v>
      </c>
      <c r="L148" s="49">
        <f t="shared" si="82"/>
        <v>0</v>
      </c>
      <c r="M148" s="49">
        <f t="shared" si="82"/>
        <v>5000</v>
      </c>
      <c r="AC148" s="271">
        <f t="shared" ref="AC148" si="83">SUM(AC139:AC147)</f>
        <v>0</v>
      </c>
      <c r="AD148" s="271">
        <f t="shared" ref="AD148" si="84">SUM(AD139:AD147)</f>
        <v>0</v>
      </c>
      <c r="AE148" s="271">
        <f t="shared" ref="AE148" si="85">SUM(AE139:AE147)</f>
        <v>0</v>
      </c>
    </row>
    <row r="149" spans="7:31" x14ac:dyDescent="0.3">
      <c r="I149" s="25"/>
      <c r="AC149" s="201"/>
      <c r="AD149" s="201"/>
      <c r="AE149" s="201"/>
    </row>
  </sheetData>
  <pageMargins left="0.25" right="0.25" top="0.75" bottom="0.75" header="0.3" footer="0.3"/>
  <pageSetup scale="59" fitToHeight="2" orientation="portrait" horizontalDpi="300" verticalDpi="300" r:id="rId1"/>
  <headerFooter>
    <oddFooter>&amp;L&amp;D</oddFooter>
  </headerFooter>
  <rowBreaks count="1" manualBreakCount="1">
    <brk id="89" max="1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>
    <tabColor theme="9" tint="0.59999389629810485"/>
    <pageSetUpPr fitToPage="1"/>
  </sheetPr>
  <dimension ref="A1:V49"/>
  <sheetViews>
    <sheetView zoomScaleNormal="100" workbookViewId="0"/>
  </sheetViews>
  <sheetFormatPr defaultColWidth="9.109375" defaultRowHeight="13.2" x14ac:dyDescent="0.25"/>
  <cols>
    <col min="1" max="1" width="31.33203125" style="2" bestFit="1" customWidth="1"/>
    <col min="2" max="2" width="2.44140625" style="2" customWidth="1"/>
    <col min="3" max="6" width="10.5546875" style="2" customWidth="1"/>
    <col min="7" max="7" width="11.6640625" style="2" customWidth="1"/>
    <col min="8" max="11" width="10.5546875" style="2" customWidth="1"/>
    <col min="12" max="12" width="11.88671875" style="2" customWidth="1"/>
    <col min="13" max="14" width="10.5546875" style="2" customWidth="1"/>
    <col min="15" max="15" width="13.109375" style="2" customWidth="1"/>
    <col min="16" max="16" width="3.33203125" style="2" customWidth="1"/>
    <col min="17" max="17" width="9.109375" style="2"/>
    <col min="18" max="18" width="11.6640625" style="2" customWidth="1"/>
    <col min="19" max="16384" width="9.109375" style="2"/>
  </cols>
  <sheetData>
    <row r="1" spans="1:20" x14ac:dyDescent="0.25">
      <c r="A1" s="381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</row>
    <row r="2" spans="1:20" x14ac:dyDescent="0.25">
      <c r="A2" s="184" t="s">
        <v>220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20" x14ac:dyDescent="0.25">
      <c r="A3" s="18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x14ac:dyDescent="0.25">
      <c r="A4" s="148"/>
      <c r="B4" s="3"/>
      <c r="C4" s="3"/>
      <c r="D4" s="3"/>
      <c r="E4" s="3"/>
      <c r="F4" s="3"/>
      <c r="G4" s="120">
        <v>31</v>
      </c>
      <c r="H4" s="120">
        <v>30</v>
      </c>
      <c r="I4" s="120">
        <v>31</v>
      </c>
      <c r="J4" s="120">
        <v>31</v>
      </c>
      <c r="K4" s="120">
        <v>30</v>
      </c>
      <c r="L4" s="120">
        <v>31</v>
      </c>
      <c r="M4" s="3"/>
      <c r="N4" s="3"/>
      <c r="O4" s="3"/>
      <c r="P4" s="3"/>
    </row>
    <row r="5" spans="1:20" x14ac:dyDescent="0.25">
      <c r="A5" s="3"/>
      <c r="B5" s="3"/>
      <c r="C5" s="20" t="s">
        <v>35</v>
      </c>
      <c r="D5" s="20" t="s">
        <v>36</v>
      </c>
      <c r="E5" s="20" t="s">
        <v>37</v>
      </c>
      <c r="F5" s="20" t="s">
        <v>38</v>
      </c>
      <c r="G5" s="20" t="s">
        <v>39</v>
      </c>
      <c r="H5" s="20" t="s">
        <v>49</v>
      </c>
      <c r="I5" s="20" t="s">
        <v>50</v>
      </c>
      <c r="J5" s="20" t="s">
        <v>30</v>
      </c>
      <c r="K5" s="20" t="s">
        <v>31</v>
      </c>
      <c r="L5" s="20" t="s">
        <v>32</v>
      </c>
      <c r="M5" s="20" t="s">
        <v>33</v>
      </c>
      <c r="N5" s="20" t="s">
        <v>34</v>
      </c>
      <c r="O5" s="3"/>
      <c r="P5" s="3"/>
    </row>
    <row r="6" spans="1:20" x14ac:dyDescent="0.25">
      <c r="A6" s="3"/>
      <c r="B6" s="3"/>
      <c r="C6" s="3"/>
      <c r="D6" s="3"/>
      <c r="E6" s="3"/>
      <c r="F6" s="3"/>
      <c r="G6" s="390" t="s">
        <v>238</v>
      </c>
      <c r="H6" s="3"/>
      <c r="I6" s="3"/>
      <c r="J6" s="3"/>
      <c r="K6" s="390" t="s">
        <v>240</v>
      </c>
      <c r="L6" s="3"/>
      <c r="M6" s="3"/>
      <c r="N6" s="3"/>
      <c r="O6" s="3"/>
      <c r="P6" s="3"/>
    </row>
    <row r="7" spans="1:20" x14ac:dyDescent="0.25">
      <c r="A7" s="17" t="s">
        <v>57</v>
      </c>
      <c r="B7" s="3"/>
      <c r="C7" s="15" t="s">
        <v>51</v>
      </c>
      <c r="D7" s="15" t="s">
        <v>51</v>
      </c>
      <c r="E7" s="15" t="s">
        <v>51</v>
      </c>
      <c r="F7" s="15" t="s">
        <v>51</v>
      </c>
      <c r="G7" s="64" t="s">
        <v>53</v>
      </c>
      <c r="H7" s="63" t="s">
        <v>52</v>
      </c>
      <c r="I7" s="63" t="s">
        <v>52</v>
      </c>
      <c r="J7" s="63" t="s">
        <v>52</v>
      </c>
      <c r="K7" s="63" t="s">
        <v>52</v>
      </c>
      <c r="L7" s="64" t="s">
        <v>53</v>
      </c>
      <c r="M7" s="15" t="s">
        <v>51</v>
      </c>
      <c r="N7" s="15" t="s">
        <v>51</v>
      </c>
      <c r="O7" s="3"/>
      <c r="P7" s="3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0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17" t="s">
        <v>56</v>
      </c>
      <c r="B10" s="3"/>
      <c r="C10" s="16">
        <v>2</v>
      </c>
      <c r="D10" s="279">
        <f>C10</f>
        <v>2</v>
      </c>
      <c r="E10" s="279">
        <f>D10</f>
        <v>2</v>
      </c>
      <c r="F10" s="279">
        <f>E10</f>
        <v>2</v>
      </c>
      <c r="G10" s="16">
        <f>2+10</f>
        <v>12</v>
      </c>
      <c r="H10" s="16">
        <v>30</v>
      </c>
      <c r="I10" s="16">
        <v>31</v>
      </c>
      <c r="J10" s="16">
        <v>31</v>
      </c>
      <c r="K10" s="16">
        <f>7+2</f>
        <v>9</v>
      </c>
      <c r="L10" s="279">
        <f>M10</f>
        <v>2</v>
      </c>
      <c r="M10" s="279">
        <f>F10</f>
        <v>2</v>
      </c>
      <c r="N10" s="279">
        <f>M10</f>
        <v>2</v>
      </c>
      <c r="O10" s="3"/>
      <c r="P10" s="3"/>
    </row>
    <row r="11" spans="1:20" x14ac:dyDescent="0.25">
      <c r="A11" s="3"/>
      <c r="B11" s="3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"/>
      <c r="P11" s="3"/>
    </row>
    <row r="12" spans="1:20" ht="14.25" customHeight="1" x14ac:dyDescent="0.3">
      <c r="A12" s="3"/>
      <c r="B12" s="3"/>
      <c r="C12" s="21"/>
      <c r="D12" s="21"/>
      <c r="E12" s="21"/>
      <c r="F12" s="21"/>
      <c r="G12" s="21"/>
      <c r="H12" s="392" t="s">
        <v>241</v>
      </c>
      <c r="I12" s="392" t="s">
        <v>241</v>
      </c>
      <c r="J12" s="392" t="s">
        <v>241</v>
      </c>
      <c r="K12" s="21"/>
      <c r="L12" s="21"/>
      <c r="M12" s="21"/>
      <c r="N12" s="21"/>
      <c r="O12" s="3"/>
      <c r="P12" s="3"/>
      <c r="Q12" s="27"/>
      <c r="R12"/>
    </row>
    <row r="13" spans="1:20" x14ac:dyDescent="0.25">
      <c r="A13" s="17" t="s">
        <v>54</v>
      </c>
      <c r="B13" s="3"/>
      <c r="C13" s="391">
        <v>2</v>
      </c>
      <c r="D13" s="122">
        <f>C13</f>
        <v>2</v>
      </c>
      <c r="E13" s="122">
        <f>D13</f>
        <v>2</v>
      </c>
      <c r="F13" s="122">
        <f>E13</f>
        <v>2</v>
      </c>
      <c r="G13" s="391">
        <v>3</v>
      </c>
      <c r="H13" s="195">
        <f>S41</f>
        <v>7</v>
      </c>
      <c r="I13" s="195">
        <f>H13</f>
        <v>7</v>
      </c>
      <c r="J13" s="195">
        <f>(0.667*S41+0.33*U41)</f>
        <v>6.0361428571428579</v>
      </c>
      <c r="K13" s="393">
        <v>5</v>
      </c>
      <c r="L13" s="391">
        <v>2</v>
      </c>
      <c r="M13" s="122">
        <f t="shared" ref="M13:N13" si="0">L13</f>
        <v>2</v>
      </c>
      <c r="N13" s="122">
        <f t="shared" si="0"/>
        <v>2</v>
      </c>
      <c r="O13" s="3"/>
      <c r="P13" s="3"/>
    </row>
    <row r="14" spans="1:20" ht="6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0" x14ac:dyDescent="0.25">
      <c r="A15" s="17" t="s">
        <v>55</v>
      </c>
      <c r="B15" s="3"/>
      <c r="C15" s="280">
        <v>13</v>
      </c>
      <c r="D15" s="22">
        <f>+C15</f>
        <v>13</v>
      </c>
      <c r="E15" s="22">
        <f>+D15</f>
        <v>13</v>
      </c>
      <c r="F15" s="22">
        <f>+E15</f>
        <v>13</v>
      </c>
      <c r="G15" s="22">
        <f>+(F15+H15)/2</f>
        <v>13</v>
      </c>
      <c r="H15" s="22">
        <f>C15</f>
        <v>13</v>
      </c>
      <c r="I15" s="22">
        <f>+H15</f>
        <v>13</v>
      </c>
      <c r="J15" s="22">
        <f>+I15</f>
        <v>13</v>
      </c>
      <c r="K15" s="22">
        <f>+J15</f>
        <v>13</v>
      </c>
      <c r="L15" s="22">
        <f>+C15</f>
        <v>13</v>
      </c>
      <c r="M15" s="22">
        <f>+L15</f>
        <v>13</v>
      </c>
      <c r="N15" s="22">
        <f>+M15</f>
        <v>13</v>
      </c>
      <c r="O15" s="3"/>
      <c r="P15" s="3"/>
    </row>
    <row r="16" spans="1:20" x14ac:dyDescent="0.25">
      <c r="A16" s="3"/>
      <c r="B16" s="1"/>
      <c r="C16" s="3"/>
      <c r="D16" s="3"/>
      <c r="E16" s="3"/>
      <c r="F16" s="3"/>
      <c r="G16" s="3"/>
      <c r="H16" s="1"/>
      <c r="I16" s="3"/>
      <c r="J16" s="3"/>
      <c r="K16" s="3"/>
      <c r="L16" s="3"/>
      <c r="M16" s="3"/>
      <c r="N16" s="3"/>
      <c r="O16" s="3"/>
      <c r="P16" s="3"/>
    </row>
    <row r="17" spans="1:21" x14ac:dyDescent="0.25">
      <c r="A17" s="359" t="s">
        <v>210</v>
      </c>
      <c r="B17" s="3"/>
      <c r="C17" s="331"/>
      <c r="D17" s="331"/>
      <c r="E17" s="331"/>
      <c r="F17" s="331"/>
      <c r="G17" s="331"/>
      <c r="H17" s="358">
        <f t="shared" ref="H17:I17" si="1">+H15*H13*H10</f>
        <v>2730</v>
      </c>
      <c r="I17" s="358">
        <f t="shared" si="1"/>
        <v>2821</v>
      </c>
      <c r="J17" s="358">
        <f>+J15*J13*J10</f>
        <v>2432.5655714285717</v>
      </c>
      <c r="K17" s="358">
        <f t="shared" ref="K17" si="2">+K15*K13*K10</f>
        <v>585</v>
      </c>
      <c r="L17" s="331"/>
      <c r="M17" s="331"/>
      <c r="N17" s="331"/>
      <c r="O17" s="331">
        <f>SUM(C17:N17)</f>
        <v>8568.5655714285713</v>
      </c>
      <c r="P17" s="3"/>
    </row>
    <row r="18" spans="1:21" x14ac:dyDescent="0.25">
      <c r="A18" s="3"/>
      <c r="B18" s="3"/>
      <c r="C18" s="3"/>
      <c r="D18" s="3"/>
      <c r="E18" s="3"/>
      <c r="F18" s="3"/>
      <c r="G18" s="161"/>
      <c r="H18" s="161"/>
      <c r="I18" s="161"/>
      <c r="J18" s="161"/>
      <c r="K18" s="161"/>
      <c r="L18" s="352"/>
      <c r="M18" s="352"/>
      <c r="N18" s="352"/>
      <c r="O18" s="23"/>
      <c r="P18" s="192"/>
    </row>
    <row r="19" spans="1:21" x14ac:dyDescent="0.25">
      <c r="A19" s="360" t="s">
        <v>211</v>
      </c>
      <c r="B19" s="3"/>
      <c r="C19" s="361">
        <f t="shared" ref="C19:G19" si="3">C10*C13*C15</f>
        <v>52</v>
      </c>
      <c r="D19" s="361">
        <f t="shared" si="3"/>
        <v>52</v>
      </c>
      <c r="E19" s="361">
        <f t="shared" si="3"/>
        <v>52</v>
      </c>
      <c r="F19" s="361">
        <f t="shared" si="3"/>
        <v>52</v>
      </c>
      <c r="G19" s="361">
        <f t="shared" si="3"/>
        <v>468</v>
      </c>
      <c r="H19" s="162"/>
      <c r="I19" s="162"/>
      <c r="J19" s="162"/>
      <c r="K19" s="162"/>
      <c r="L19" s="361">
        <f>L10*L13*L15</f>
        <v>52</v>
      </c>
      <c r="M19" s="361">
        <f>M10*M13*M15</f>
        <v>52</v>
      </c>
      <c r="N19" s="361">
        <f>N10*N13*N15</f>
        <v>52</v>
      </c>
      <c r="O19" s="362">
        <f>SUM(C19:N19)</f>
        <v>832</v>
      </c>
      <c r="P19" s="3"/>
    </row>
    <row r="20" spans="1:21" x14ac:dyDescent="0.25">
      <c r="A20" s="334"/>
      <c r="B20" s="3"/>
      <c r="C20" s="352"/>
      <c r="D20" s="352"/>
      <c r="E20" s="352"/>
      <c r="F20" s="352"/>
      <c r="G20" s="162"/>
      <c r="H20" s="162"/>
      <c r="I20" s="162"/>
      <c r="J20" s="162"/>
      <c r="K20" s="162"/>
      <c r="L20" s="162"/>
      <c r="M20" s="352"/>
      <c r="N20" s="352"/>
      <c r="O20" s="18">
        <f>O19+O17</f>
        <v>9400.5655714285713</v>
      </c>
      <c r="P20" s="192" t="s">
        <v>221</v>
      </c>
    </row>
    <row r="21" spans="1:21" x14ac:dyDescent="0.25">
      <c r="A21" s="334"/>
      <c r="B21" s="3"/>
      <c r="C21" s="352"/>
      <c r="D21" s="352"/>
      <c r="E21" s="352"/>
      <c r="F21" s="352"/>
      <c r="G21" s="162"/>
      <c r="H21" s="162"/>
      <c r="I21" s="162"/>
      <c r="J21" s="162"/>
      <c r="K21" s="162"/>
      <c r="L21" s="162"/>
      <c r="M21" s="352"/>
      <c r="N21" s="352"/>
      <c r="O21" s="363">
        <f>'2025 Forecast'!O67+'2025 Forecast'!O70</f>
        <v>9372.1899999999987</v>
      </c>
      <c r="P21" s="192" t="s">
        <v>222</v>
      </c>
    </row>
    <row r="22" spans="1:21" x14ac:dyDescent="0.25">
      <c r="A22" s="334"/>
      <c r="B22" s="3"/>
      <c r="C22" s="352"/>
      <c r="D22" s="352"/>
      <c r="E22" s="352"/>
      <c r="F22" s="352"/>
      <c r="G22" s="162"/>
      <c r="H22" s="162"/>
      <c r="I22" s="162"/>
      <c r="J22" s="162"/>
      <c r="K22" s="162"/>
      <c r="L22" s="162"/>
      <c r="M22" s="352"/>
      <c r="N22" s="352"/>
      <c r="O22" s="62">
        <f>O21-O20</f>
        <v>-28.375571428572584</v>
      </c>
      <c r="P22" s="192"/>
    </row>
    <row r="23" spans="1:21" x14ac:dyDescent="0.25">
      <c r="A23" s="334"/>
      <c r="B23" s="3"/>
      <c r="C23" s="352"/>
      <c r="D23" s="352"/>
      <c r="E23" s="352"/>
      <c r="F23" s="352"/>
      <c r="G23" s="162"/>
      <c r="H23" s="162"/>
      <c r="I23" s="162"/>
      <c r="J23" s="162"/>
      <c r="K23" s="162"/>
      <c r="L23" s="162"/>
      <c r="M23" s="352"/>
      <c r="N23" s="352"/>
      <c r="O23" s="23"/>
      <c r="P23" s="192"/>
    </row>
    <row r="24" spans="1:2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62"/>
      <c r="P24" s="3"/>
    </row>
    <row r="25" spans="1:21" ht="39" customHeight="1" x14ac:dyDescent="0.25">
      <c r="A25" s="3"/>
      <c r="B25" s="3"/>
      <c r="C25" s="3"/>
      <c r="D25" s="3"/>
      <c r="E25" s="3"/>
      <c r="F25" s="3"/>
      <c r="G25" s="19" t="s">
        <v>58</v>
      </c>
      <c r="H25" s="3"/>
      <c r="I25" s="3"/>
      <c r="J25" s="19" t="s">
        <v>212</v>
      </c>
      <c r="K25" s="3"/>
      <c r="L25" s="19" t="s">
        <v>149</v>
      </c>
      <c r="M25" s="3"/>
      <c r="N25" s="3"/>
      <c r="O25" s="3"/>
    </row>
    <row r="26" spans="1:2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Q26" s="294" t="s">
        <v>242</v>
      </c>
      <c r="R26" s="188" t="s">
        <v>245</v>
      </c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Q27" s="294" t="s">
        <v>243</v>
      </c>
      <c r="R27" s="188" t="s">
        <v>244</v>
      </c>
    </row>
    <row r="28" spans="1:21" x14ac:dyDescent="0.25">
      <c r="O28" s="187" t="s">
        <v>97</v>
      </c>
    </row>
    <row r="29" spans="1:21" x14ac:dyDescent="0.25">
      <c r="C29" s="186">
        <f t="shared" ref="C29:N29" si="4">+C13*C10</f>
        <v>4</v>
      </c>
      <c r="D29" s="186">
        <f t="shared" si="4"/>
        <v>4</v>
      </c>
      <c r="E29" s="186">
        <f t="shared" si="4"/>
        <v>4</v>
      </c>
      <c r="F29" s="186">
        <f t="shared" si="4"/>
        <v>4</v>
      </c>
      <c r="G29" s="186">
        <f t="shared" si="4"/>
        <v>36</v>
      </c>
      <c r="H29" s="186">
        <f t="shared" si="4"/>
        <v>210</v>
      </c>
      <c r="I29" s="186">
        <f t="shared" si="4"/>
        <v>217</v>
      </c>
      <c r="J29" s="186">
        <f t="shared" si="4"/>
        <v>187.12042857142859</v>
      </c>
      <c r="K29" s="186">
        <f t="shared" si="4"/>
        <v>45</v>
      </c>
      <c r="L29" s="186">
        <f t="shared" si="4"/>
        <v>4</v>
      </c>
      <c r="M29" s="186">
        <f t="shared" si="4"/>
        <v>4</v>
      </c>
      <c r="N29" s="186">
        <f t="shared" si="4"/>
        <v>4</v>
      </c>
      <c r="O29" s="193">
        <f>+SUM(C29:N29)</f>
        <v>723.12042857142865</v>
      </c>
    </row>
    <row r="31" spans="1:21" x14ac:dyDescent="0.25">
      <c r="T31" s="119"/>
    </row>
    <row r="32" spans="1:21" x14ac:dyDescent="0.25">
      <c r="R32" s="281" t="s">
        <v>150</v>
      </c>
      <c r="U32" s="281" t="s">
        <v>151</v>
      </c>
    </row>
    <row r="33" spans="17:22" x14ac:dyDescent="0.25">
      <c r="Q33" s="2" t="s">
        <v>88</v>
      </c>
      <c r="R33" s="188"/>
      <c r="S33" s="394">
        <v>7</v>
      </c>
      <c r="U33" s="394">
        <v>3</v>
      </c>
    </row>
    <row r="34" spans="17:22" x14ac:dyDescent="0.25">
      <c r="Q34" s="2" t="s">
        <v>89</v>
      </c>
      <c r="R34" s="119"/>
      <c r="S34" s="2">
        <f t="shared" ref="S34:S37" si="5">+S33</f>
        <v>7</v>
      </c>
      <c r="U34" s="2">
        <f t="shared" ref="U34" si="6">+U33</f>
        <v>3</v>
      </c>
    </row>
    <row r="35" spans="17:22" x14ac:dyDescent="0.25">
      <c r="Q35" s="2" t="s">
        <v>90</v>
      </c>
      <c r="R35" s="119"/>
      <c r="S35" s="2">
        <f t="shared" si="5"/>
        <v>7</v>
      </c>
      <c r="U35" s="2">
        <f t="shared" ref="U35" si="7">+U34</f>
        <v>3</v>
      </c>
    </row>
    <row r="36" spans="17:22" x14ac:dyDescent="0.25">
      <c r="Q36" s="2" t="s">
        <v>91</v>
      </c>
      <c r="R36" s="189"/>
      <c r="S36" s="2">
        <f t="shared" si="5"/>
        <v>7</v>
      </c>
      <c r="U36" s="2">
        <f t="shared" ref="U36" si="8">+U35</f>
        <v>3</v>
      </c>
    </row>
    <row r="37" spans="17:22" x14ac:dyDescent="0.25">
      <c r="Q37" s="2" t="s">
        <v>92</v>
      </c>
      <c r="R37" s="189"/>
      <c r="S37" s="2">
        <f t="shared" si="5"/>
        <v>7</v>
      </c>
      <c r="U37" s="279">
        <f>U36</f>
        <v>3</v>
      </c>
    </row>
    <row r="38" spans="17:22" x14ac:dyDescent="0.25">
      <c r="Q38" s="2" t="s">
        <v>93</v>
      </c>
      <c r="R38" s="189"/>
      <c r="S38" s="2">
        <f>+S37</f>
        <v>7</v>
      </c>
      <c r="U38" s="121">
        <f>U39</f>
        <v>7</v>
      </c>
    </row>
    <row r="39" spans="17:22" x14ac:dyDescent="0.25">
      <c r="Q39" s="2" t="s">
        <v>94</v>
      </c>
      <c r="R39" s="190"/>
      <c r="S39" s="2">
        <f>+S36</f>
        <v>7</v>
      </c>
      <c r="U39" s="2">
        <f>S39</f>
        <v>7</v>
      </c>
    </row>
    <row r="40" spans="17:22" x14ac:dyDescent="0.25">
      <c r="S40" s="191">
        <f>SUM(S33:S39)</f>
        <v>49</v>
      </c>
      <c r="T40" s="2" t="s">
        <v>95</v>
      </c>
      <c r="U40" s="191">
        <f>SUM(U33:U39)</f>
        <v>29</v>
      </c>
      <c r="V40" s="2" t="s">
        <v>95</v>
      </c>
    </row>
    <row r="41" spans="17:22" x14ac:dyDescent="0.25">
      <c r="S41" s="123">
        <f>+S40/7</f>
        <v>7</v>
      </c>
      <c r="T41" s="125" t="s">
        <v>96</v>
      </c>
      <c r="U41" s="123">
        <f>+U40/7</f>
        <v>4.1428571428571432</v>
      </c>
      <c r="V41" s="125" t="s">
        <v>96</v>
      </c>
    </row>
    <row r="42" spans="17:22" x14ac:dyDescent="0.25">
      <c r="S42" s="124"/>
    </row>
    <row r="49" spans="1:14" x14ac:dyDescent="0.25">
      <c r="A49" s="185"/>
      <c r="B49" s="185"/>
      <c r="C49" s="185"/>
      <c r="D49" s="185"/>
      <c r="E49" s="185"/>
      <c r="F49" s="185"/>
      <c r="H49" s="185"/>
      <c r="I49" s="185"/>
      <c r="J49" s="185"/>
      <c r="K49" s="185"/>
      <c r="L49" s="185"/>
      <c r="M49" s="185"/>
      <c r="N49" s="185"/>
    </row>
  </sheetData>
  <phoneticPr fontId="17" type="noConversion"/>
  <pageMargins left="0.7" right="0.7" top="0.75" bottom="0.75" header="0.3" footer="0.3"/>
  <pageSetup scale="66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T64"/>
  <sheetViews>
    <sheetView zoomScaleNormal="100" workbookViewId="0"/>
  </sheetViews>
  <sheetFormatPr defaultColWidth="9.109375" defaultRowHeight="13.2" x14ac:dyDescent="0.25"/>
  <cols>
    <col min="1" max="1" width="3.6640625" style="2" customWidth="1"/>
    <col min="2" max="2" width="15.33203125" style="17" customWidth="1"/>
    <col min="3" max="3" width="26.44140625" style="283" customWidth="1"/>
    <col min="4" max="4" width="11" style="2" customWidth="1"/>
    <col min="5" max="5" width="9.88671875" style="2" customWidth="1"/>
    <col min="6" max="6" width="15.33203125" style="2" customWidth="1"/>
    <col min="7" max="7" width="12.33203125" style="15" customWidth="1"/>
    <col min="8" max="20" width="9.6640625" style="2" customWidth="1"/>
    <col min="21" max="16384" width="9.109375" style="2"/>
  </cols>
  <sheetData>
    <row r="1" spans="1:20" x14ac:dyDescent="0.25">
      <c r="A1" s="282" t="s">
        <v>29</v>
      </c>
      <c r="F1" s="284"/>
    </row>
    <row r="2" spans="1:20" x14ac:dyDescent="0.25">
      <c r="A2" s="285" t="s">
        <v>152</v>
      </c>
      <c r="D2" s="15"/>
      <c r="E2" s="286"/>
      <c r="F2" s="287">
        <f>+G62</f>
        <v>9000</v>
      </c>
      <c r="G2" s="282" t="s">
        <v>153</v>
      </c>
      <c r="I2" s="288">
        <f>+'2025 Forecast'!O34</f>
        <v>10300</v>
      </c>
      <c r="J2" s="289" t="s">
        <v>228</v>
      </c>
    </row>
    <row r="3" spans="1:20" x14ac:dyDescent="0.25">
      <c r="F3" s="290">
        <f>+D62</f>
        <v>90</v>
      </c>
      <c r="G3" s="282" t="s">
        <v>154</v>
      </c>
      <c r="I3" s="288">
        <f>+G62</f>
        <v>9000</v>
      </c>
      <c r="J3" s="289" t="s">
        <v>221</v>
      </c>
    </row>
    <row r="4" spans="1:20" x14ac:dyDescent="0.25">
      <c r="A4" s="307"/>
      <c r="B4" s="299"/>
      <c r="C4" s="299" t="s">
        <v>221</v>
      </c>
      <c r="I4" s="62">
        <f>+I2-I3</f>
        <v>1300</v>
      </c>
      <c r="J4" s="289"/>
    </row>
    <row r="5" spans="1:20" x14ac:dyDescent="0.25">
      <c r="B5" s="307"/>
      <c r="G5" s="15" t="s">
        <v>155</v>
      </c>
    </row>
    <row r="6" spans="1:20" x14ac:dyDescent="0.25">
      <c r="C6" s="308" t="s">
        <v>159</v>
      </c>
      <c r="D6" s="291" t="s">
        <v>174</v>
      </c>
      <c r="E6" s="291" t="s">
        <v>175</v>
      </c>
      <c r="F6" s="292" t="s">
        <v>156</v>
      </c>
      <c r="G6" s="291" t="s">
        <v>156</v>
      </c>
      <c r="H6" s="292" t="s">
        <v>35</v>
      </c>
      <c r="I6" s="292" t="s">
        <v>36</v>
      </c>
      <c r="J6" s="292" t="s">
        <v>37</v>
      </c>
      <c r="K6" s="292" t="s">
        <v>38</v>
      </c>
      <c r="L6" s="292" t="s">
        <v>39</v>
      </c>
      <c r="M6" s="292" t="s">
        <v>49</v>
      </c>
      <c r="N6" s="292" t="s">
        <v>50</v>
      </c>
      <c r="O6" s="292" t="s">
        <v>30</v>
      </c>
      <c r="P6" s="292" t="s">
        <v>31</v>
      </c>
      <c r="Q6" s="292" t="s">
        <v>32</v>
      </c>
      <c r="R6" s="292" t="s">
        <v>33</v>
      </c>
      <c r="S6" s="292" t="s">
        <v>34</v>
      </c>
      <c r="T6" s="319" t="s">
        <v>160</v>
      </c>
    </row>
    <row r="7" spans="1:20" x14ac:dyDescent="0.25">
      <c r="B7" s="293"/>
      <c r="H7" s="294">
        <f>+G13</f>
        <v>600</v>
      </c>
      <c r="I7" s="294">
        <f>+G17</f>
        <v>400</v>
      </c>
      <c r="J7" s="368">
        <f>+G21</f>
        <v>700</v>
      </c>
      <c r="K7" s="294">
        <f>+G25</f>
        <v>800</v>
      </c>
      <c r="L7" s="368">
        <f>+G30</f>
        <v>1000</v>
      </c>
      <c r="M7" s="294">
        <f>+G34</f>
        <v>800</v>
      </c>
      <c r="N7" s="294">
        <f>+G38</f>
        <v>800</v>
      </c>
      <c r="O7" s="368">
        <f>+G43</f>
        <v>1000</v>
      </c>
      <c r="P7" s="368">
        <f>+G47</f>
        <v>800</v>
      </c>
      <c r="Q7" s="294">
        <f>+G52</f>
        <v>900</v>
      </c>
      <c r="R7" s="368">
        <f>+G56</f>
        <v>600</v>
      </c>
      <c r="S7" s="294">
        <f>+G60</f>
        <v>600</v>
      </c>
      <c r="T7" s="295">
        <f>+SUM(H7:S7)</f>
        <v>9000</v>
      </c>
    </row>
    <row r="8" spans="1:20" x14ac:dyDescent="0.25">
      <c r="B8" s="293" t="s">
        <v>157</v>
      </c>
      <c r="C8" s="296">
        <f>+DATE(2026,1,1)</f>
        <v>46023</v>
      </c>
      <c r="D8" s="183">
        <v>1</v>
      </c>
      <c r="E8" s="297">
        <v>50</v>
      </c>
      <c r="F8" s="331">
        <f>+D8*E8*2</f>
        <v>100</v>
      </c>
      <c r="G8" s="299"/>
      <c r="T8" s="300">
        <f>+T7-G62</f>
        <v>0</v>
      </c>
    </row>
    <row r="9" spans="1:20" x14ac:dyDescent="0.25">
      <c r="B9" s="293"/>
      <c r="C9" s="301">
        <f>+C8+2</f>
        <v>46025</v>
      </c>
      <c r="D9" s="183">
        <v>1</v>
      </c>
      <c r="E9" s="298">
        <f t="shared" ref="E9:E60" si="0">+E8</f>
        <v>50</v>
      </c>
      <c r="F9" s="331">
        <f t="shared" ref="F9:F60" si="1">+D9*E9*2</f>
        <v>100</v>
      </c>
      <c r="G9" s="299"/>
      <c r="H9" s="318"/>
    </row>
    <row r="10" spans="1:20" x14ac:dyDescent="0.25">
      <c r="B10" s="293"/>
      <c r="C10" s="301">
        <f t="shared" ref="C10:C60" si="2">+C9+7</f>
        <v>46032</v>
      </c>
      <c r="D10" s="183">
        <v>1</v>
      </c>
      <c r="E10" s="298">
        <f t="shared" si="0"/>
        <v>50</v>
      </c>
      <c r="F10" s="331">
        <f t="shared" si="1"/>
        <v>100</v>
      </c>
      <c r="H10" s="318"/>
    </row>
    <row r="11" spans="1:20" x14ac:dyDescent="0.25">
      <c r="B11" s="293"/>
      <c r="C11" s="301">
        <f t="shared" si="2"/>
        <v>46039</v>
      </c>
      <c r="D11" s="183">
        <v>1</v>
      </c>
      <c r="E11" s="298">
        <f t="shared" si="0"/>
        <v>50</v>
      </c>
      <c r="F11" s="331">
        <f t="shared" si="1"/>
        <v>100</v>
      </c>
      <c r="H11" s="318"/>
      <c r="I11" s="302"/>
    </row>
    <row r="12" spans="1:20" x14ac:dyDescent="0.25">
      <c r="B12" s="293"/>
      <c r="C12" s="301">
        <f t="shared" si="2"/>
        <v>46046</v>
      </c>
      <c r="D12" s="183">
        <v>1</v>
      </c>
      <c r="E12" s="298">
        <f t="shared" si="0"/>
        <v>50</v>
      </c>
      <c r="F12" s="331">
        <f t="shared" si="1"/>
        <v>100</v>
      </c>
      <c r="K12" s="2" t="s">
        <v>161</v>
      </c>
    </row>
    <row r="13" spans="1:20" x14ac:dyDescent="0.25">
      <c r="B13" s="293"/>
      <c r="C13" s="301">
        <f t="shared" si="2"/>
        <v>46053</v>
      </c>
      <c r="D13" s="183">
        <v>1</v>
      </c>
      <c r="E13" s="298">
        <f t="shared" si="0"/>
        <v>50</v>
      </c>
      <c r="F13" s="331">
        <f t="shared" si="1"/>
        <v>100</v>
      </c>
      <c r="G13" s="334">
        <f>SUM(F8:F13)</f>
        <v>600</v>
      </c>
      <c r="H13" s="303">
        <f>+C12</f>
        <v>46046</v>
      </c>
    </row>
    <row r="14" spans="1:20" x14ac:dyDescent="0.25">
      <c r="B14" s="293"/>
      <c r="C14" s="309">
        <f t="shared" si="2"/>
        <v>46060</v>
      </c>
      <c r="D14" s="183">
        <v>1</v>
      </c>
      <c r="E14" s="298">
        <f t="shared" si="0"/>
        <v>50</v>
      </c>
      <c r="F14" s="331">
        <f t="shared" si="1"/>
        <v>100</v>
      </c>
      <c r="G14" s="17"/>
      <c r="H14" s="303"/>
    </row>
    <row r="15" spans="1:20" x14ac:dyDescent="0.25">
      <c r="B15" s="293"/>
      <c r="C15" s="309">
        <f t="shared" si="2"/>
        <v>46067</v>
      </c>
      <c r="D15" s="183">
        <v>1</v>
      </c>
      <c r="E15" s="298">
        <f t="shared" si="0"/>
        <v>50</v>
      </c>
      <c r="F15" s="331">
        <f t="shared" si="1"/>
        <v>100</v>
      </c>
      <c r="G15" s="293"/>
      <c r="H15" s="303"/>
    </row>
    <row r="16" spans="1:20" x14ac:dyDescent="0.25">
      <c r="B16" s="293"/>
      <c r="C16" s="309">
        <f t="shared" si="2"/>
        <v>46074</v>
      </c>
      <c r="D16" s="183">
        <v>1</v>
      </c>
      <c r="E16" s="298">
        <f t="shared" si="0"/>
        <v>50</v>
      </c>
      <c r="F16" s="331">
        <f t="shared" si="1"/>
        <v>100</v>
      </c>
    </row>
    <row r="17" spans="2:8" x14ac:dyDescent="0.25">
      <c r="B17" s="293"/>
      <c r="C17" s="309">
        <f t="shared" si="2"/>
        <v>46081</v>
      </c>
      <c r="D17" s="183">
        <v>1</v>
      </c>
      <c r="E17" s="298">
        <f t="shared" si="0"/>
        <v>50</v>
      </c>
      <c r="F17" s="331">
        <f t="shared" si="1"/>
        <v>100</v>
      </c>
      <c r="G17" s="334">
        <f>SUM(F14:F17)</f>
        <v>400</v>
      </c>
      <c r="H17" s="303">
        <f>+C16</f>
        <v>46074</v>
      </c>
    </row>
    <row r="18" spans="2:8" x14ac:dyDescent="0.25">
      <c r="B18" s="293"/>
      <c r="C18" s="311">
        <f t="shared" si="2"/>
        <v>46088</v>
      </c>
      <c r="D18" s="183">
        <v>2</v>
      </c>
      <c r="E18" s="298">
        <f t="shared" si="0"/>
        <v>50</v>
      </c>
      <c r="F18" s="331">
        <f t="shared" si="1"/>
        <v>200</v>
      </c>
      <c r="G18" s="17"/>
      <c r="H18" s="303"/>
    </row>
    <row r="19" spans="2:8" x14ac:dyDescent="0.25">
      <c r="B19" s="293"/>
      <c r="C19" s="311">
        <f t="shared" si="2"/>
        <v>46095</v>
      </c>
      <c r="D19" s="183">
        <v>2</v>
      </c>
      <c r="E19" s="298">
        <f t="shared" si="0"/>
        <v>50</v>
      </c>
      <c r="F19" s="331">
        <f t="shared" si="1"/>
        <v>200</v>
      </c>
      <c r="G19" s="17"/>
      <c r="H19" s="303"/>
    </row>
    <row r="20" spans="2:8" x14ac:dyDescent="0.25">
      <c r="B20" s="293"/>
      <c r="C20" s="311">
        <f t="shared" si="2"/>
        <v>46102</v>
      </c>
      <c r="D20" s="183">
        <v>1</v>
      </c>
      <c r="E20" s="298">
        <f t="shared" si="0"/>
        <v>50</v>
      </c>
      <c r="F20" s="331">
        <f t="shared" si="1"/>
        <v>100</v>
      </c>
      <c r="G20" s="17"/>
      <c r="H20" s="303"/>
    </row>
    <row r="21" spans="2:8" x14ac:dyDescent="0.25">
      <c r="B21" s="293"/>
      <c r="C21" s="311">
        <f t="shared" si="2"/>
        <v>46109</v>
      </c>
      <c r="D21" s="183">
        <v>2</v>
      </c>
      <c r="E21" s="298">
        <f t="shared" si="0"/>
        <v>50</v>
      </c>
      <c r="F21" s="331">
        <f t="shared" si="1"/>
        <v>200</v>
      </c>
      <c r="G21" s="334">
        <f>SUM(F18:F21)</f>
        <v>700</v>
      </c>
      <c r="H21" s="303">
        <f t="shared" ref="H21" si="3">+C21</f>
        <v>46109</v>
      </c>
    </row>
    <row r="22" spans="2:8" x14ac:dyDescent="0.25">
      <c r="B22" s="293"/>
      <c r="C22" s="313">
        <f t="shared" si="2"/>
        <v>46116</v>
      </c>
      <c r="D22" s="183">
        <v>2</v>
      </c>
      <c r="E22" s="298">
        <f t="shared" si="0"/>
        <v>50</v>
      </c>
      <c r="F22" s="331">
        <f t="shared" si="1"/>
        <v>200</v>
      </c>
      <c r="G22" s="293"/>
      <c r="H22" s="303"/>
    </row>
    <row r="23" spans="2:8" x14ac:dyDescent="0.25">
      <c r="B23" s="293"/>
      <c r="C23" s="313">
        <f t="shared" si="2"/>
        <v>46123</v>
      </c>
      <c r="D23" s="183">
        <v>2</v>
      </c>
      <c r="E23" s="298">
        <f t="shared" si="0"/>
        <v>50</v>
      </c>
      <c r="F23" s="331">
        <f t="shared" si="1"/>
        <v>200</v>
      </c>
      <c r="G23" s="293"/>
      <c r="H23" s="303"/>
    </row>
    <row r="24" spans="2:8" x14ac:dyDescent="0.25">
      <c r="B24" s="293"/>
      <c r="C24" s="313">
        <f t="shared" si="2"/>
        <v>46130</v>
      </c>
      <c r="D24" s="183">
        <v>2</v>
      </c>
      <c r="E24" s="298">
        <f t="shared" si="0"/>
        <v>50</v>
      </c>
      <c r="F24" s="331">
        <f t="shared" si="1"/>
        <v>200</v>
      </c>
      <c r="G24" s="17"/>
      <c r="H24" s="303"/>
    </row>
    <row r="25" spans="2:8" x14ac:dyDescent="0.25">
      <c r="B25" s="293"/>
      <c r="C25" s="313">
        <f t="shared" si="2"/>
        <v>46137</v>
      </c>
      <c r="D25" s="183">
        <v>2</v>
      </c>
      <c r="E25" s="298">
        <f t="shared" si="0"/>
        <v>50</v>
      </c>
      <c r="F25" s="331">
        <f t="shared" si="1"/>
        <v>200</v>
      </c>
      <c r="G25" s="334">
        <f>SUM(F22:F25)</f>
        <v>800</v>
      </c>
      <c r="H25" s="303">
        <f t="shared" ref="H25" si="4">+C25</f>
        <v>46137</v>
      </c>
    </row>
    <row r="26" spans="2:8" x14ac:dyDescent="0.25">
      <c r="B26" s="293"/>
      <c r="C26" s="312">
        <f t="shared" si="2"/>
        <v>46144</v>
      </c>
      <c r="D26" s="183">
        <v>2</v>
      </c>
      <c r="E26" s="298">
        <f t="shared" si="0"/>
        <v>50</v>
      </c>
      <c r="F26" s="331">
        <f t="shared" si="1"/>
        <v>200</v>
      </c>
      <c r="G26" s="17"/>
      <c r="H26" s="318"/>
    </row>
    <row r="27" spans="2:8" x14ac:dyDescent="0.25">
      <c r="B27" s="293"/>
      <c r="C27" s="312">
        <f t="shared" si="2"/>
        <v>46151</v>
      </c>
      <c r="D27" s="183">
        <v>2</v>
      </c>
      <c r="E27" s="298">
        <f t="shared" si="0"/>
        <v>50</v>
      </c>
      <c r="F27" s="331">
        <f t="shared" si="1"/>
        <v>200</v>
      </c>
      <c r="G27" s="17"/>
      <c r="H27" s="318"/>
    </row>
    <row r="28" spans="2:8" x14ac:dyDescent="0.25">
      <c r="B28" s="293"/>
      <c r="C28" s="312">
        <f t="shared" si="2"/>
        <v>46158</v>
      </c>
      <c r="D28" s="183">
        <v>2</v>
      </c>
      <c r="E28" s="298">
        <f t="shared" si="0"/>
        <v>50</v>
      </c>
      <c r="F28" s="331">
        <f t="shared" si="1"/>
        <v>200</v>
      </c>
      <c r="G28" s="17"/>
      <c r="H28" s="318"/>
    </row>
    <row r="29" spans="2:8" x14ac:dyDescent="0.25">
      <c r="B29" s="293"/>
      <c r="C29" s="312">
        <f t="shared" si="2"/>
        <v>46165</v>
      </c>
      <c r="D29" s="183">
        <v>2</v>
      </c>
      <c r="E29" s="298">
        <f t="shared" si="0"/>
        <v>50</v>
      </c>
      <c r="F29" s="331">
        <f t="shared" si="1"/>
        <v>200</v>
      </c>
      <c r="G29" s="17"/>
      <c r="H29" s="318"/>
    </row>
    <row r="30" spans="2:8" x14ac:dyDescent="0.25">
      <c r="B30" s="293"/>
      <c r="C30" s="312">
        <f t="shared" si="2"/>
        <v>46172</v>
      </c>
      <c r="D30" s="183">
        <v>2</v>
      </c>
      <c r="E30" s="298">
        <f t="shared" si="0"/>
        <v>50</v>
      </c>
      <c r="F30" s="331">
        <f t="shared" si="1"/>
        <v>200</v>
      </c>
      <c r="G30" s="334">
        <f>SUM(F26:F30)</f>
        <v>1000</v>
      </c>
      <c r="H30" s="318" t="s">
        <v>39</v>
      </c>
    </row>
    <row r="31" spans="2:8" x14ac:dyDescent="0.25">
      <c r="B31" s="293"/>
      <c r="C31" s="310">
        <f t="shared" si="2"/>
        <v>46179</v>
      </c>
      <c r="D31" s="183">
        <v>2</v>
      </c>
      <c r="E31" s="298">
        <f t="shared" si="0"/>
        <v>50</v>
      </c>
      <c r="F31" s="331">
        <f t="shared" si="1"/>
        <v>200</v>
      </c>
      <c r="G31" s="17"/>
      <c r="H31" s="318"/>
    </row>
    <row r="32" spans="2:8" x14ac:dyDescent="0.25">
      <c r="B32" s="293"/>
      <c r="C32" s="310">
        <f t="shared" si="2"/>
        <v>46186</v>
      </c>
      <c r="D32" s="183">
        <v>2</v>
      </c>
      <c r="E32" s="298">
        <f t="shared" si="0"/>
        <v>50</v>
      </c>
      <c r="F32" s="331">
        <f t="shared" si="1"/>
        <v>200</v>
      </c>
      <c r="G32" s="17"/>
      <c r="H32" s="318"/>
    </row>
    <row r="33" spans="2:8" x14ac:dyDescent="0.25">
      <c r="B33" s="293"/>
      <c r="C33" s="310">
        <f t="shared" si="2"/>
        <v>46193</v>
      </c>
      <c r="D33" s="183">
        <v>2</v>
      </c>
      <c r="E33" s="298">
        <f t="shared" si="0"/>
        <v>50</v>
      </c>
      <c r="F33" s="331">
        <f t="shared" si="1"/>
        <v>200</v>
      </c>
      <c r="G33" s="17"/>
      <c r="H33" s="318"/>
    </row>
    <row r="34" spans="2:8" x14ac:dyDescent="0.25">
      <c r="B34" s="293"/>
      <c r="C34" s="310">
        <f t="shared" si="2"/>
        <v>46200</v>
      </c>
      <c r="D34" s="183">
        <v>2</v>
      </c>
      <c r="E34" s="298">
        <f t="shared" si="0"/>
        <v>50</v>
      </c>
      <c r="F34" s="331">
        <f t="shared" si="1"/>
        <v>200</v>
      </c>
      <c r="G34" s="17">
        <f>SUM(F31:F34)</f>
        <v>800</v>
      </c>
      <c r="H34" s="318" t="s">
        <v>49</v>
      </c>
    </row>
    <row r="35" spans="2:8" x14ac:dyDescent="0.25">
      <c r="B35" s="293"/>
      <c r="C35" s="314">
        <f t="shared" si="2"/>
        <v>46207</v>
      </c>
      <c r="D35" s="183">
        <v>2</v>
      </c>
      <c r="E35" s="298">
        <f t="shared" si="0"/>
        <v>50</v>
      </c>
      <c r="F35" s="331">
        <f t="shared" si="1"/>
        <v>200</v>
      </c>
      <c r="G35" s="17"/>
      <c r="H35" s="303"/>
    </row>
    <row r="36" spans="2:8" x14ac:dyDescent="0.25">
      <c r="B36" s="293"/>
      <c r="C36" s="314">
        <f t="shared" si="2"/>
        <v>46214</v>
      </c>
      <c r="D36" s="183">
        <v>2</v>
      </c>
      <c r="E36" s="298">
        <f t="shared" si="0"/>
        <v>50</v>
      </c>
      <c r="F36" s="331">
        <f t="shared" si="1"/>
        <v>200</v>
      </c>
      <c r="G36" s="17"/>
      <c r="H36" s="318"/>
    </row>
    <row r="37" spans="2:8" x14ac:dyDescent="0.25">
      <c r="B37" s="293"/>
      <c r="C37" s="314">
        <f t="shared" si="2"/>
        <v>46221</v>
      </c>
      <c r="D37" s="183">
        <v>2</v>
      </c>
      <c r="E37" s="298">
        <f t="shared" si="0"/>
        <v>50</v>
      </c>
      <c r="F37" s="331">
        <f t="shared" si="1"/>
        <v>200</v>
      </c>
      <c r="G37" s="17"/>
      <c r="H37" s="318"/>
    </row>
    <row r="38" spans="2:8" x14ac:dyDescent="0.25">
      <c r="B38" s="293"/>
      <c r="C38" s="314">
        <f t="shared" si="2"/>
        <v>46228</v>
      </c>
      <c r="D38" s="183">
        <v>2</v>
      </c>
      <c r="E38" s="298">
        <f t="shared" si="0"/>
        <v>50</v>
      </c>
      <c r="F38" s="331">
        <f t="shared" si="1"/>
        <v>200</v>
      </c>
      <c r="G38" s="334">
        <f>SUM(F35:F38)</f>
        <v>800</v>
      </c>
      <c r="H38" s="303">
        <f>+C38</f>
        <v>46228</v>
      </c>
    </row>
    <row r="39" spans="2:8" x14ac:dyDescent="0.25">
      <c r="B39" s="293"/>
      <c r="C39" s="315">
        <f t="shared" si="2"/>
        <v>46235</v>
      </c>
      <c r="D39" s="183">
        <v>2</v>
      </c>
      <c r="E39" s="298">
        <f t="shared" si="0"/>
        <v>50</v>
      </c>
      <c r="F39" s="331">
        <f t="shared" si="1"/>
        <v>200</v>
      </c>
      <c r="G39" s="17"/>
      <c r="H39" s="318"/>
    </row>
    <row r="40" spans="2:8" x14ac:dyDescent="0.25">
      <c r="B40" s="293"/>
      <c r="C40" s="315">
        <f t="shared" si="2"/>
        <v>46242</v>
      </c>
      <c r="D40" s="183">
        <v>2</v>
      </c>
      <c r="E40" s="298">
        <f t="shared" si="0"/>
        <v>50</v>
      </c>
      <c r="F40" s="331">
        <f t="shared" si="1"/>
        <v>200</v>
      </c>
      <c r="G40" s="17"/>
      <c r="H40" s="318"/>
    </row>
    <row r="41" spans="2:8" x14ac:dyDescent="0.25">
      <c r="B41" s="293"/>
      <c r="C41" s="315">
        <f t="shared" si="2"/>
        <v>46249</v>
      </c>
      <c r="D41" s="183">
        <v>2</v>
      </c>
      <c r="E41" s="298">
        <f t="shared" si="0"/>
        <v>50</v>
      </c>
      <c r="F41" s="331">
        <f t="shared" si="1"/>
        <v>200</v>
      </c>
      <c r="G41" s="17"/>
      <c r="H41" s="318"/>
    </row>
    <row r="42" spans="2:8" x14ac:dyDescent="0.25">
      <c r="B42" s="293"/>
      <c r="C42" s="315">
        <f t="shared" si="2"/>
        <v>46256</v>
      </c>
      <c r="D42" s="183">
        <v>2</v>
      </c>
      <c r="E42" s="298">
        <f t="shared" si="0"/>
        <v>50</v>
      </c>
      <c r="F42" s="331">
        <f t="shared" si="1"/>
        <v>200</v>
      </c>
      <c r="G42" s="17"/>
      <c r="H42" s="318"/>
    </row>
    <row r="43" spans="2:8" x14ac:dyDescent="0.25">
      <c r="B43" s="293"/>
      <c r="C43" s="315">
        <f t="shared" si="2"/>
        <v>46263</v>
      </c>
      <c r="D43" s="183">
        <v>2</v>
      </c>
      <c r="E43" s="298">
        <f t="shared" si="0"/>
        <v>50</v>
      </c>
      <c r="F43" s="331">
        <f t="shared" si="1"/>
        <v>200</v>
      </c>
      <c r="G43" s="334">
        <f>SUM(F39:F43)</f>
        <v>1000</v>
      </c>
      <c r="H43" s="318" t="s">
        <v>30</v>
      </c>
    </row>
    <row r="44" spans="2:8" x14ac:dyDescent="0.25">
      <c r="B44" s="293"/>
      <c r="C44" s="316">
        <f t="shared" si="2"/>
        <v>46270</v>
      </c>
      <c r="D44" s="183">
        <v>2</v>
      </c>
      <c r="E44" s="298">
        <f t="shared" si="0"/>
        <v>50</v>
      </c>
      <c r="F44" s="331">
        <f t="shared" si="1"/>
        <v>200</v>
      </c>
      <c r="G44" s="17"/>
      <c r="H44" s="318"/>
    </row>
    <row r="45" spans="2:8" x14ac:dyDescent="0.25">
      <c r="B45" s="293"/>
      <c r="C45" s="316">
        <f t="shared" si="2"/>
        <v>46277</v>
      </c>
      <c r="D45" s="183">
        <v>2</v>
      </c>
      <c r="E45" s="298">
        <f t="shared" si="0"/>
        <v>50</v>
      </c>
      <c r="F45" s="331">
        <f t="shared" si="1"/>
        <v>200</v>
      </c>
      <c r="G45" s="17"/>
      <c r="H45" s="318"/>
    </row>
    <row r="46" spans="2:8" x14ac:dyDescent="0.25">
      <c r="B46" s="293"/>
      <c r="C46" s="316">
        <f t="shared" si="2"/>
        <v>46284</v>
      </c>
      <c r="D46" s="183">
        <v>2</v>
      </c>
      <c r="E46" s="298">
        <f t="shared" si="0"/>
        <v>50</v>
      </c>
      <c r="F46" s="331">
        <f t="shared" si="1"/>
        <v>200</v>
      </c>
      <c r="G46" s="334"/>
      <c r="H46" s="318"/>
    </row>
    <row r="47" spans="2:8" x14ac:dyDescent="0.25">
      <c r="B47" s="293"/>
      <c r="C47" s="316">
        <f t="shared" si="2"/>
        <v>46291</v>
      </c>
      <c r="D47" s="183">
        <v>2</v>
      </c>
      <c r="E47" s="298">
        <f t="shared" si="0"/>
        <v>50</v>
      </c>
      <c r="F47" s="331">
        <f t="shared" si="1"/>
        <v>200</v>
      </c>
      <c r="G47" s="334">
        <f>SUM(F44:F47)</f>
        <v>800</v>
      </c>
      <c r="H47" s="318" t="s">
        <v>31</v>
      </c>
    </row>
    <row r="48" spans="2:8" x14ac:dyDescent="0.25">
      <c r="B48" s="293"/>
      <c r="C48" s="317">
        <f t="shared" si="2"/>
        <v>46298</v>
      </c>
      <c r="D48" s="183">
        <v>2</v>
      </c>
      <c r="E48" s="298">
        <f t="shared" si="0"/>
        <v>50</v>
      </c>
      <c r="F48" s="331">
        <f t="shared" si="1"/>
        <v>200</v>
      </c>
      <c r="G48" s="17"/>
      <c r="H48" s="318"/>
    </row>
    <row r="49" spans="2:8" x14ac:dyDescent="0.25">
      <c r="B49" s="293"/>
      <c r="C49" s="317">
        <f t="shared" si="2"/>
        <v>46305</v>
      </c>
      <c r="D49" s="183">
        <v>2</v>
      </c>
      <c r="E49" s="298">
        <f t="shared" si="0"/>
        <v>50</v>
      </c>
      <c r="F49" s="331">
        <f t="shared" si="1"/>
        <v>200</v>
      </c>
      <c r="G49" s="17"/>
      <c r="H49" s="318"/>
    </row>
    <row r="50" spans="2:8" x14ac:dyDescent="0.25">
      <c r="B50" s="293"/>
      <c r="C50" s="317">
        <f t="shared" si="2"/>
        <v>46312</v>
      </c>
      <c r="D50" s="183">
        <v>2</v>
      </c>
      <c r="E50" s="298">
        <f t="shared" si="0"/>
        <v>50</v>
      </c>
      <c r="F50" s="331">
        <f t="shared" si="1"/>
        <v>200</v>
      </c>
      <c r="G50" s="17"/>
      <c r="H50" s="318"/>
    </row>
    <row r="51" spans="2:8" x14ac:dyDescent="0.25">
      <c r="B51" s="293"/>
      <c r="C51" s="317">
        <f t="shared" si="2"/>
        <v>46319</v>
      </c>
      <c r="D51" s="183">
        <v>2</v>
      </c>
      <c r="E51" s="298">
        <f t="shared" si="0"/>
        <v>50</v>
      </c>
      <c r="F51" s="331">
        <f t="shared" si="1"/>
        <v>200</v>
      </c>
    </row>
    <row r="52" spans="2:8" x14ac:dyDescent="0.25">
      <c r="B52" s="293"/>
      <c r="C52" s="317">
        <f t="shared" si="2"/>
        <v>46326</v>
      </c>
      <c r="D52" s="183">
        <v>1</v>
      </c>
      <c r="E52" s="298">
        <f t="shared" si="0"/>
        <v>50</v>
      </c>
      <c r="F52" s="331">
        <f t="shared" si="1"/>
        <v>100</v>
      </c>
      <c r="G52" s="334">
        <f>SUM(F48:F52)</f>
        <v>900</v>
      </c>
      <c r="H52" s="318" t="s">
        <v>32</v>
      </c>
    </row>
    <row r="53" spans="2:8" x14ac:dyDescent="0.25">
      <c r="B53" s="293"/>
      <c r="C53" s="313">
        <f t="shared" si="2"/>
        <v>46333</v>
      </c>
      <c r="D53" s="183">
        <v>2</v>
      </c>
      <c r="E53" s="298">
        <f t="shared" si="0"/>
        <v>50</v>
      </c>
      <c r="F53" s="331">
        <f t="shared" si="1"/>
        <v>200</v>
      </c>
      <c r="G53" s="17"/>
      <c r="H53" s="318"/>
    </row>
    <row r="54" spans="2:8" x14ac:dyDescent="0.25">
      <c r="B54" s="293"/>
      <c r="C54" s="313">
        <f t="shared" si="2"/>
        <v>46340</v>
      </c>
      <c r="D54" s="183">
        <v>2</v>
      </c>
      <c r="E54" s="298">
        <f t="shared" si="0"/>
        <v>50</v>
      </c>
      <c r="F54" s="331">
        <f t="shared" si="1"/>
        <v>200</v>
      </c>
      <c r="G54" s="17"/>
      <c r="H54" s="318"/>
    </row>
    <row r="55" spans="2:8" x14ac:dyDescent="0.25">
      <c r="B55" s="293"/>
      <c r="C55" s="313">
        <f t="shared" si="2"/>
        <v>46347</v>
      </c>
      <c r="D55" s="183">
        <v>1</v>
      </c>
      <c r="E55" s="298">
        <f t="shared" si="0"/>
        <v>50</v>
      </c>
      <c r="F55" s="331">
        <f t="shared" si="1"/>
        <v>100</v>
      </c>
      <c r="G55" s="17"/>
      <c r="H55" s="318"/>
    </row>
    <row r="56" spans="2:8" x14ac:dyDescent="0.25">
      <c r="B56" s="293"/>
      <c r="C56" s="313">
        <f t="shared" si="2"/>
        <v>46354</v>
      </c>
      <c r="D56" s="183">
        <v>1</v>
      </c>
      <c r="E56" s="298">
        <f t="shared" si="0"/>
        <v>50</v>
      </c>
      <c r="F56" s="331">
        <f t="shared" si="1"/>
        <v>100</v>
      </c>
      <c r="G56" s="334">
        <f>SUM(F53:F56)</f>
        <v>600</v>
      </c>
      <c r="H56" s="318" t="s">
        <v>33</v>
      </c>
    </row>
    <row r="57" spans="2:8" x14ac:dyDescent="0.25">
      <c r="B57" s="293"/>
      <c r="C57" s="304">
        <f t="shared" si="2"/>
        <v>46361</v>
      </c>
      <c r="D57" s="183">
        <v>2</v>
      </c>
      <c r="E57" s="298">
        <f t="shared" si="0"/>
        <v>50</v>
      </c>
      <c r="F57" s="331">
        <f t="shared" si="1"/>
        <v>200</v>
      </c>
      <c r="G57" s="17"/>
      <c r="H57" s="318"/>
    </row>
    <row r="58" spans="2:8" x14ac:dyDescent="0.25">
      <c r="B58" s="293"/>
      <c r="C58" s="304">
        <f t="shared" si="2"/>
        <v>46368</v>
      </c>
      <c r="D58" s="183">
        <v>2</v>
      </c>
      <c r="E58" s="298">
        <f t="shared" si="0"/>
        <v>50</v>
      </c>
      <c r="F58" s="331">
        <f t="shared" si="1"/>
        <v>200</v>
      </c>
      <c r="G58" s="17"/>
      <c r="H58" s="318"/>
    </row>
    <row r="59" spans="2:8" x14ac:dyDescent="0.25">
      <c r="B59" s="293"/>
      <c r="C59" s="304">
        <f t="shared" si="2"/>
        <v>46375</v>
      </c>
      <c r="D59" s="183">
        <v>1</v>
      </c>
      <c r="E59" s="298">
        <f t="shared" si="0"/>
        <v>50</v>
      </c>
      <c r="F59" s="331">
        <f t="shared" si="1"/>
        <v>100</v>
      </c>
      <c r="G59" s="17"/>
      <c r="H59" s="318"/>
    </row>
    <row r="60" spans="2:8" x14ac:dyDescent="0.25">
      <c r="B60" s="293"/>
      <c r="C60" s="304">
        <f t="shared" si="2"/>
        <v>46382</v>
      </c>
      <c r="D60" s="183">
        <v>1</v>
      </c>
      <c r="E60" s="298">
        <f t="shared" si="0"/>
        <v>50</v>
      </c>
      <c r="F60" s="331">
        <f t="shared" si="1"/>
        <v>100</v>
      </c>
      <c r="G60" s="334">
        <f>SUM(F57:F60)</f>
        <v>600</v>
      </c>
      <c r="H60" s="318" t="s">
        <v>34</v>
      </c>
    </row>
    <row r="61" spans="2:8" ht="7.5" customHeight="1" x14ac:dyDescent="0.25">
      <c r="B61" s="293"/>
      <c r="C61" s="305"/>
      <c r="D61" s="183"/>
      <c r="E61" s="298"/>
      <c r="F61" s="298"/>
    </row>
    <row r="62" spans="2:8" x14ac:dyDescent="0.25">
      <c r="B62" s="293"/>
      <c r="D62" s="306">
        <f>SUM(D7:D61)</f>
        <v>90</v>
      </c>
      <c r="E62" s="306"/>
      <c r="F62" s="306">
        <f>SUM(F7:F61)</f>
        <v>9000</v>
      </c>
      <c r="G62" s="306">
        <f>SUM(G7:G61)</f>
        <v>9000</v>
      </c>
    </row>
    <row r="63" spans="2:8" x14ac:dyDescent="0.25">
      <c r="B63" s="293"/>
    </row>
    <row r="64" spans="2:8" x14ac:dyDescent="0.25">
      <c r="B64" s="293"/>
    </row>
  </sheetData>
  <pageMargins left="0.7" right="0.7" top="0.75" bottom="0.75" header="0.3" footer="0.3"/>
  <pageSetup scale="68" orientation="portrait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82F9-12D3-4D51-9647-C7180A33F47D}">
  <sheetPr>
    <tabColor theme="9" tint="0.59999389629810485"/>
  </sheetPr>
  <dimension ref="A1:K1"/>
  <sheetViews>
    <sheetView workbookViewId="0"/>
  </sheetViews>
  <sheetFormatPr defaultColWidth="12.88671875" defaultRowHeight="15.6" x14ac:dyDescent="0.3"/>
  <cols>
    <col min="1" max="1" width="9.88671875" style="350" customWidth="1"/>
    <col min="2" max="2" width="42.109375" style="350" customWidth="1"/>
    <col min="3" max="3" width="16.5546875" style="350" customWidth="1"/>
    <col min="4" max="4" width="16.44140625" style="350" customWidth="1"/>
    <col min="5" max="5" width="11.88671875" style="350" customWidth="1"/>
    <col min="6" max="6" width="8.5546875" style="350" customWidth="1"/>
    <col min="7" max="7" width="16.44140625" style="350" customWidth="1"/>
    <col min="8" max="8" width="41.6640625" style="350" customWidth="1"/>
    <col min="9" max="9" width="28.88671875" style="350" customWidth="1"/>
    <col min="10" max="11" width="18.44140625" style="350" customWidth="1"/>
    <col min="12" max="16384" width="12.88671875" style="35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9604-39F5-49EF-9CBC-A2C09289AC44}">
  <sheetPr transitionEntry="1">
    <tabColor rgb="FF6DFF85"/>
  </sheetPr>
  <dimension ref="A1:AD165"/>
  <sheetViews>
    <sheetView tabSelected="1" zoomScale="110" zoomScaleNormal="110" workbookViewId="0"/>
  </sheetViews>
  <sheetFormatPr defaultColWidth="9.109375" defaultRowHeight="13.8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20" width="8.88671875" style="26" customWidth="1" outlineLevel="1"/>
    <col min="21" max="21" width="12.5546875" style="26" customWidth="1"/>
    <col min="22" max="23" width="12.5546875" style="55" customWidth="1"/>
    <col min="24" max="24" width="2.6640625" style="26" customWidth="1"/>
    <col min="25" max="33" width="9.109375" style="26" customWidth="1"/>
    <col min="34" max="16384" width="9.109375" style="26"/>
  </cols>
  <sheetData>
    <row r="1" spans="1:30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0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0"/>
    </row>
    <row r="3" spans="1:30" x14ac:dyDescent="0.3">
      <c r="A3" s="153" t="s">
        <v>224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0"/>
    </row>
    <row r="4" spans="1:30" x14ac:dyDescent="0.3">
      <c r="A4" s="4"/>
      <c r="B4" s="6"/>
      <c r="C4" s="28"/>
      <c r="D4" s="28"/>
      <c r="E4" s="28"/>
      <c r="F4" s="28"/>
      <c r="G4" s="389">
        <v>45975.562652314817</v>
      </c>
      <c r="H4" s="28"/>
      <c r="I4" s="3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6"/>
      <c r="V4" s="75"/>
      <c r="W4" s="230" t="s">
        <v>40</v>
      </c>
      <c r="AA4" s="86"/>
    </row>
    <row r="5" spans="1:30" x14ac:dyDescent="0.3">
      <c r="A5" s="8"/>
      <c r="B5" s="31"/>
      <c r="C5" s="31"/>
      <c r="D5" s="31"/>
      <c r="E5" s="31"/>
      <c r="F5" s="31"/>
      <c r="G5" s="97">
        <f ca="1">NOW()</f>
        <v>45992.636546296293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7">
        <v>2026</v>
      </c>
      <c r="V5" s="88">
        <v>2025</v>
      </c>
      <c r="W5" s="231" t="s">
        <v>228</v>
      </c>
      <c r="X5" s="33"/>
    </row>
    <row r="6" spans="1:30" x14ac:dyDescent="0.3">
      <c r="A6" s="26"/>
      <c r="I6" s="34" t="s">
        <v>41</v>
      </c>
      <c r="J6" s="34" t="s">
        <v>41</v>
      </c>
      <c r="K6" s="34" t="s">
        <v>41</v>
      </c>
      <c r="L6" s="34" t="s">
        <v>41</v>
      </c>
      <c r="M6" s="34" t="s">
        <v>41</v>
      </c>
      <c r="N6" s="34" t="s">
        <v>41</v>
      </c>
      <c r="O6" s="34" t="s">
        <v>41</v>
      </c>
      <c r="P6" s="34" t="s">
        <v>41</v>
      </c>
      <c r="Q6" s="34" t="s">
        <v>41</v>
      </c>
      <c r="R6" s="34" t="s">
        <v>41</v>
      </c>
      <c r="S6" s="34" t="s">
        <v>41</v>
      </c>
      <c r="T6" s="34" t="s">
        <v>41</v>
      </c>
      <c r="U6" s="66" t="s">
        <v>41</v>
      </c>
      <c r="V6" s="37" t="s">
        <v>42</v>
      </c>
      <c r="W6" s="77" t="s">
        <v>43</v>
      </c>
      <c r="X6" s="33"/>
    </row>
    <row r="7" spans="1:30" s="38" customFormat="1" ht="14.4" thickBot="1" x14ac:dyDescent="0.35">
      <c r="A7" s="37"/>
      <c r="B7" s="37"/>
      <c r="C7" s="37"/>
      <c r="D7" s="37"/>
      <c r="E7" s="37"/>
      <c r="F7" s="37"/>
      <c r="G7" s="37"/>
      <c r="H7" s="37"/>
      <c r="I7" s="36" t="s">
        <v>35</v>
      </c>
      <c r="J7" s="36" t="s">
        <v>36</v>
      </c>
      <c r="K7" s="36" t="s">
        <v>37</v>
      </c>
      <c r="L7" s="36" t="s">
        <v>38</v>
      </c>
      <c r="M7" s="36" t="s">
        <v>39</v>
      </c>
      <c r="N7" s="36" t="s">
        <v>49</v>
      </c>
      <c r="O7" s="36" t="s">
        <v>50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68" t="s">
        <v>67</v>
      </c>
      <c r="V7" s="36" t="s">
        <v>67</v>
      </c>
      <c r="W7" s="78" t="s">
        <v>221</v>
      </c>
      <c r="X7" s="37"/>
    </row>
    <row r="8" spans="1:30" ht="15.75" customHeight="1" thickTop="1" x14ac:dyDescent="0.3">
      <c r="A8" s="33"/>
      <c r="B8" s="40" t="str">
        <f>'2025 Forecast'!B8</f>
        <v>Ordinary Income/Expense</v>
      </c>
      <c r="C8" s="33"/>
      <c r="D8" s="33"/>
      <c r="E8" s="33"/>
      <c r="F8" s="33"/>
      <c r="G8" s="33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9"/>
      <c r="V8" s="41"/>
      <c r="W8" s="232"/>
      <c r="X8" s="33"/>
    </row>
    <row r="9" spans="1:30" ht="15.75" customHeight="1" x14ac:dyDescent="0.3">
      <c r="A9" s="33"/>
      <c r="B9" s="33"/>
      <c r="C9" s="40" t="str">
        <f>'2025 Forecast'!C9</f>
        <v>Income</v>
      </c>
      <c r="D9" s="33"/>
      <c r="E9" s="33"/>
      <c r="F9" s="33"/>
      <c r="G9" s="33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25"/>
      <c r="V9" s="24"/>
      <c r="W9" s="233"/>
    </row>
    <row r="10" spans="1:30" ht="15.75" customHeight="1" x14ac:dyDescent="0.3">
      <c r="A10" s="33"/>
      <c r="B10" s="33"/>
      <c r="C10" s="33"/>
      <c r="D10" s="39" t="str">
        <f>'2025 Forecast'!D10</f>
        <v>Dues</v>
      </c>
      <c r="E10" s="33"/>
      <c r="F10" s="33"/>
      <c r="G10" s="33"/>
      <c r="H10" s="118" t="s">
        <v>218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5"/>
      <c r="V10" s="24"/>
      <c r="W10" s="233"/>
      <c r="Z10" s="140"/>
      <c r="AA10" s="140"/>
      <c r="AB10" s="140"/>
      <c r="AC10" s="38"/>
    </row>
    <row r="11" spans="1:30" ht="15.75" customHeight="1" x14ac:dyDescent="0.3">
      <c r="A11" s="33"/>
      <c r="B11" s="33"/>
      <c r="C11" s="33"/>
      <c r="D11" s="33"/>
      <c r="E11" s="147" t="str">
        <f>'2025 Forecast'!E11</f>
        <v>Dues Adjustments</v>
      </c>
      <c r="F11" s="33"/>
      <c r="G11" s="33"/>
      <c r="H11" s="118"/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70">
        <f>SUM(I11:T11)</f>
        <v>0</v>
      </c>
      <c r="V11" s="50">
        <f>'2025 Forecast'!O11</f>
        <v>0</v>
      </c>
      <c r="W11" s="82">
        <f t="shared" ref="W11" si="0">U11-V11</f>
        <v>0</v>
      </c>
      <c r="Z11" s="321" t="s">
        <v>101</v>
      </c>
      <c r="AA11" s="321" t="s">
        <v>102</v>
      </c>
      <c r="AB11" s="321" t="s">
        <v>103</v>
      </c>
      <c r="AC11" s="38"/>
    </row>
    <row r="12" spans="1:30" ht="15.75" customHeight="1" x14ac:dyDescent="0.3">
      <c r="A12" s="33"/>
      <c r="B12" s="33"/>
      <c r="C12" s="33"/>
      <c r="D12" s="33"/>
      <c r="E12" s="39" t="str">
        <f>'2025 Forecast'!E12</f>
        <v>HOA Dues</v>
      </c>
      <c r="F12" s="33"/>
      <c r="G12" s="33"/>
      <c r="H12" s="113">
        <f>'2025 Forecast'!H12*1.03</f>
        <v>105.8531</v>
      </c>
      <c r="I12" s="42">
        <f>(10*$H12*3)+($AB12*$H12)+(2*$H12*12)+146</f>
        <v>15282.993299999998</v>
      </c>
      <c r="J12" s="42">
        <f>(H12*AB12)+(H12*25)+1000</f>
        <v>13067.2534</v>
      </c>
      <c r="K12" s="50">
        <f>J12</f>
        <v>13067.2534</v>
      </c>
      <c r="L12" s="42">
        <f>($AA12*$H12*1)+($AB12*$H12)+1500-270</f>
        <v>13403.1065</v>
      </c>
      <c r="M12" s="42">
        <f>($AA12*$H12*1)+($AB12*$H12)</f>
        <v>12173.1065</v>
      </c>
      <c r="N12" s="50">
        <f>M12</f>
        <v>12173.1065</v>
      </c>
      <c r="O12" s="42">
        <f>($AA12*$H12*1)+($AB12*$H12)</f>
        <v>12173.1065</v>
      </c>
      <c r="P12" s="50">
        <f>N12</f>
        <v>12173.1065</v>
      </c>
      <c r="Q12" s="50">
        <f>P12</f>
        <v>12173.1065</v>
      </c>
      <c r="R12" s="42">
        <f>($AA12*$H12*1)+($AB12*$H12)</f>
        <v>12173.1065</v>
      </c>
      <c r="S12" s="50">
        <f>Q12</f>
        <v>12173.1065</v>
      </c>
      <c r="T12" s="355">
        <f>S12+223</f>
        <v>12396.1065</v>
      </c>
      <c r="U12" s="240">
        <f>SUM(I12:T12)</f>
        <v>152428.45859999995</v>
      </c>
      <c r="V12" s="239">
        <f>'2025 Forecast'!O12</f>
        <v>147988.79999999999</v>
      </c>
      <c r="W12" s="241">
        <f>U12-V12</f>
        <v>4439.6585999999661</v>
      </c>
      <c r="Z12" s="37">
        <f>'2023 Forecast'!U12</f>
        <v>5</v>
      </c>
      <c r="AA12" s="37">
        <f>'2023 Forecast'!V12</f>
        <v>26</v>
      </c>
      <c r="AB12" s="37">
        <f>'2023 Forecast'!W12</f>
        <v>89</v>
      </c>
      <c r="AC12" s="37">
        <f>SUM(Z12:AB12)</f>
        <v>120</v>
      </c>
      <c r="AD12" s="55">
        <f>AC12*H12*12</f>
        <v>152428.46399999998</v>
      </c>
    </row>
    <row r="13" spans="1:30" ht="15.75" customHeight="1" x14ac:dyDescent="0.3">
      <c r="A13" s="33"/>
      <c r="B13" s="33"/>
      <c r="C13" s="33"/>
      <c r="D13" s="33"/>
      <c r="E13" s="39" t="str">
        <f>'2025 Forecast'!E13</f>
        <v>Late Payments (Dues)</v>
      </c>
      <c r="F13" s="33"/>
      <c r="G13" s="33"/>
      <c r="H13" s="154"/>
      <c r="I13" s="42">
        <v>-175</v>
      </c>
      <c r="J13" s="50">
        <f>I13</f>
        <v>-175</v>
      </c>
      <c r="K13" s="50">
        <f t="shared" ref="K13:S13" si="1">J13</f>
        <v>-175</v>
      </c>
      <c r="L13" s="50">
        <f t="shared" si="1"/>
        <v>-175</v>
      </c>
      <c r="M13" s="50">
        <f t="shared" si="1"/>
        <v>-175</v>
      </c>
      <c r="N13" s="50">
        <f t="shared" si="1"/>
        <v>-175</v>
      </c>
      <c r="O13" s="50">
        <f t="shared" si="1"/>
        <v>-175</v>
      </c>
      <c r="P13" s="50">
        <f t="shared" si="1"/>
        <v>-175</v>
      </c>
      <c r="Q13" s="50">
        <f t="shared" si="1"/>
        <v>-175</v>
      </c>
      <c r="R13" s="50">
        <f t="shared" si="1"/>
        <v>-175</v>
      </c>
      <c r="S13" s="50">
        <f t="shared" si="1"/>
        <v>-175</v>
      </c>
      <c r="T13" s="50">
        <f>S13</f>
        <v>-175</v>
      </c>
      <c r="U13" s="70">
        <f>SUM(I13:T13)</f>
        <v>-2100</v>
      </c>
      <c r="V13" s="50">
        <f>'2025 Forecast'!O13</f>
        <v>-1900</v>
      </c>
      <c r="W13" s="82">
        <f t="shared" ref="W13:W20" si="2">U13-V13</f>
        <v>-200</v>
      </c>
      <c r="Y13" s="243" t="s">
        <v>206</v>
      </c>
      <c r="AD13" s="53">
        <f>AD12-U12</f>
        <v>5.4000000236555934E-3</v>
      </c>
    </row>
    <row r="14" spans="1:30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71"/>
      <c r="V14" s="80"/>
      <c r="W14" s="83"/>
      <c r="Z14" s="116"/>
      <c r="AD14" s="117"/>
    </row>
    <row r="15" spans="1:30" ht="15.75" customHeight="1" x14ac:dyDescent="0.3">
      <c r="A15" s="33"/>
      <c r="B15" s="33"/>
      <c r="C15" s="33"/>
      <c r="D15" s="40" t="str">
        <f>'2025 Forecast'!D15</f>
        <v>Total Dues</v>
      </c>
      <c r="E15" s="33"/>
      <c r="F15" s="33"/>
      <c r="G15" s="33"/>
      <c r="H15" s="33"/>
      <c r="I15" s="44">
        <f>SUM(I10:I14)</f>
        <v>15107.993299999998</v>
      </c>
      <c r="J15" s="44">
        <f t="shared" ref="J15:W15" si="3">SUM(J10:J14)</f>
        <v>12892.2534</v>
      </c>
      <c r="K15" s="44">
        <f t="shared" si="3"/>
        <v>12892.2534</v>
      </c>
      <c r="L15" s="44">
        <f t="shared" si="3"/>
        <v>13228.1065</v>
      </c>
      <c r="M15" s="44">
        <f t="shared" si="3"/>
        <v>11998.1065</v>
      </c>
      <c r="N15" s="44">
        <f t="shared" si="3"/>
        <v>11998.1065</v>
      </c>
      <c r="O15" s="44">
        <f t="shared" si="3"/>
        <v>11998.1065</v>
      </c>
      <c r="P15" s="44">
        <f t="shared" si="3"/>
        <v>11998.1065</v>
      </c>
      <c r="Q15" s="44">
        <f t="shared" si="3"/>
        <v>11998.1065</v>
      </c>
      <c r="R15" s="44">
        <f t="shared" si="3"/>
        <v>11998.1065</v>
      </c>
      <c r="S15" s="44">
        <f t="shared" si="3"/>
        <v>11998.1065</v>
      </c>
      <c r="T15" s="44">
        <f t="shared" si="3"/>
        <v>12221.1065</v>
      </c>
      <c r="U15" s="72">
        <f t="shared" si="3"/>
        <v>150328.45859999995</v>
      </c>
      <c r="V15" s="44">
        <f t="shared" si="3"/>
        <v>146088.79999999999</v>
      </c>
      <c r="W15" s="84">
        <f t="shared" si="3"/>
        <v>4239.6585999999661</v>
      </c>
      <c r="Y15" s="242">
        <f>U15-V15</f>
        <v>4239.6585999999661</v>
      </c>
      <c r="AA15" s="116"/>
    </row>
    <row r="16" spans="1:30" ht="15.75" customHeight="1" x14ac:dyDescent="0.3">
      <c r="A16" s="33"/>
      <c r="B16" s="33"/>
      <c r="C16" s="33"/>
      <c r="D16" s="33"/>
      <c r="E16" s="33"/>
      <c r="F16" s="33"/>
      <c r="G16" s="45"/>
      <c r="H16" s="33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0"/>
      <c r="V16" s="50"/>
      <c r="W16" s="82"/>
      <c r="X16" s="33"/>
      <c r="Y16" s="243"/>
      <c r="AA16" s="116"/>
    </row>
    <row r="17" spans="1:27" ht="15.75" customHeight="1" x14ac:dyDescent="0.3">
      <c r="A17" s="33"/>
      <c r="B17" s="33"/>
      <c r="C17" s="33"/>
      <c r="D17" s="39" t="str">
        <f>'2025 Forecast'!D17</f>
        <v>Interest Income</v>
      </c>
      <c r="E17" s="33"/>
      <c r="F17" s="33"/>
      <c r="G17" s="33"/>
      <c r="H17" s="174">
        <f>'2025 Forecast'!H17</f>
        <v>1.1599999999999999E-2</v>
      </c>
      <c r="I17" s="50">
        <f>$H$17*H123/12</f>
        <v>20.169182611165557</v>
      </c>
      <c r="J17" s="50">
        <f t="shared" ref="J17:T17" si="4">$H$17*I123/12</f>
        <v>27.039887566578571</v>
      </c>
      <c r="K17" s="50">
        <f t="shared" si="4"/>
        <v>26.134852300115146</v>
      </c>
      <c r="L17" s="50">
        <f t="shared" si="4"/>
        <v>27.55377549956081</v>
      </c>
      <c r="M17" s="50">
        <f t="shared" si="4"/>
        <v>14.784228321432607</v>
      </c>
      <c r="N17" s="50">
        <f t="shared" si="4"/>
        <v>15.583037247698881</v>
      </c>
      <c r="O17" s="50">
        <f t="shared" si="4"/>
        <v>13.984618022593878</v>
      </c>
      <c r="P17" s="50">
        <f t="shared" si="4"/>
        <v>11.209186992237941</v>
      </c>
      <c r="Q17" s="50">
        <f t="shared" si="4"/>
        <v>10.522392992838375</v>
      </c>
      <c r="R17" s="50">
        <f t="shared" si="4"/>
        <v>11.170448478287007</v>
      </c>
      <c r="S17" s="50">
        <f t="shared" si="4"/>
        <v>11.555897417371575</v>
      </c>
      <c r="T17" s="50">
        <f t="shared" si="4"/>
        <v>14.856218957097255</v>
      </c>
      <c r="U17" s="70">
        <f t="shared" ref="U17:U20" si="5">SUM(I17:T17)</f>
        <v>204.56372640697759</v>
      </c>
      <c r="V17" s="50">
        <f>'2025 Forecast'!O17</f>
        <v>677.61166672298884</v>
      </c>
      <c r="W17" s="82">
        <f t="shared" si="2"/>
        <v>-473.04794031601125</v>
      </c>
      <c r="Y17" s="243"/>
      <c r="AA17" s="116"/>
    </row>
    <row r="18" spans="1:27" ht="15.75" customHeight="1" x14ac:dyDescent="0.3">
      <c r="A18" s="33"/>
      <c r="B18" s="33"/>
      <c r="C18" s="33"/>
      <c r="D18" s="39" t="str">
        <f>'2025 Forecast'!D18</f>
        <v>Legal &amp; Violation Fees / Lien Fees Assessed</v>
      </c>
      <c r="E18" s="33"/>
      <c r="F18" s="33"/>
      <c r="G18" s="33"/>
      <c r="H18" s="174"/>
      <c r="I18" s="42">
        <v>90</v>
      </c>
      <c r="J18" s="50">
        <f>I18</f>
        <v>90</v>
      </c>
      <c r="K18" s="50">
        <f t="shared" ref="K18:T18" si="6">J18</f>
        <v>90</v>
      </c>
      <c r="L18" s="50">
        <f t="shared" si="6"/>
        <v>90</v>
      </c>
      <c r="M18" s="50">
        <f t="shared" si="6"/>
        <v>90</v>
      </c>
      <c r="N18" s="50">
        <f t="shared" si="6"/>
        <v>90</v>
      </c>
      <c r="O18" s="50">
        <f t="shared" si="6"/>
        <v>90</v>
      </c>
      <c r="P18" s="50">
        <f t="shared" si="6"/>
        <v>90</v>
      </c>
      <c r="Q18" s="50">
        <f t="shared" si="6"/>
        <v>90</v>
      </c>
      <c r="R18" s="50">
        <f t="shared" si="6"/>
        <v>90</v>
      </c>
      <c r="S18" s="50">
        <f t="shared" si="6"/>
        <v>90</v>
      </c>
      <c r="T18" s="50">
        <f t="shared" si="6"/>
        <v>90</v>
      </c>
      <c r="U18" s="70">
        <f t="shared" si="5"/>
        <v>1080</v>
      </c>
      <c r="V18" s="50">
        <f>'2025 Forecast'!O18</f>
        <v>1201</v>
      </c>
      <c r="W18" s="82">
        <f t="shared" si="2"/>
        <v>-121</v>
      </c>
      <c r="Y18" s="243"/>
    </row>
    <row r="19" spans="1:27" ht="15.75" customHeight="1" x14ac:dyDescent="0.3">
      <c r="A19" s="33"/>
      <c r="B19" s="33"/>
      <c r="C19" s="33"/>
      <c r="D19" s="39" t="str">
        <f>'2025 Forecast'!D19</f>
        <v>Transfer Fee/Resale Cert Income</v>
      </c>
      <c r="E19" s="33"/>
      <c r="F19" s="33"/>
      <c r="G19" s="33"/>
      <c r="H19" s="322"/>
      <c r="I19" s="42">
        <v>0</v>
      </c>
      <c r="J19" s="42">
        <v>0</v>
      </c>
      <c r="K19" s="42">
        <v>350</v>
      </c>
      <c r="L19" s="42">
        <v>0</v>
      </c>
      <c r="M19" s="42">
        <v>350</v>
      </c>
      <c r="N19" s="42">
        <v>350</v>
      </c>
      <c r="O19" s="42">
        <v>0</v>
      </c>
      <c r="P19" s="42">
        <v>350</v>
      </c>
      <c r="Q19" s="42">
        <v>350</v>
      </c>
      <c r="R19" s="42">
        <v>0</v>
      </c>
      <c r="S19" s="42">
        <v>0</v>
      </c>
      <c r="T19" s="42">
        <v>0</v>
      </c>
      <c r="U19" s="70">
        <f t="shared" si="5"/>
        <v>1750</v>
      </c>
      <c r="V19" s="50">
        <f>'2025 Forecast'!O19</f>
        <v>1625</v>
      </c>
      <c r="W19" s="82">
        <f t="shared" si="2"/>
        <v>125</v>
      </c>
      <c r="Y19" s="243"/>
    </row>
    <row r="20" spans="1:27" ht="15.75" customHeight="1" x14ac:dyDescent="0.3">
      <c r="A20" s="33"/>
      <c r="B20" s="33"/>
      <c r="C20" s="33"/>
      <c r="D20" s="33" t="str">
        <f>'2025 Forecast'!D20</f>
        <v>Miscellaneous Income</v>
      </c>
      <c r="E20" s="33"/>
      <c r="F20" s="33"/>
      <c r="G20" s="33"/>
      <c r="H20" s="33"/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207">
        <f t="shared" si="5"/>
        <v>0</v>
      </c>
      <c r="V20" s="74">
        <f>'2025 Forecast'!O20</f>
        <v>125.16</v>
      </c>
      <c r="W20" s="208">
        <f t="shared" si="2"/>
        <v>-125.16</v>
      </c>
      <c r="Y20" s="243"/>
    </row>
    <row r="21" spans="1:27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46"/>
      <c r="U21" s="70"/>
      <c r="V21" s="50"/>
      <c r="W21" s="82"/>
      <c r="Y21" s="243"/>
    </row>
    <row r="22" spans="1:27" ht="15.75" customHeight="1" x14ac:dyDescent="0.3">
      <c r="A22" s="33"/>
      <c r="B22" s="33"/>
      <c r="C22" s="40" t="str">
        <f>'2025 Forecast'!C22</f>
        <v>Total Income &amp; Dues</v>
      </c>
      <c r="D22" s="33"/>
      <c r="E22" s="33"/>
      <c r="F22" s="33"/>
      <c r="G22" s="33"/>
      <c r="H22" s="33"/>
      <c r="I22" s="44">
        <f t="shared" ref="I22:W22" si="7">SUM(I17:I21)+I15</f>
        <v>15218.162482611164</v>
      </c>
      <c r="J22" s="44">
        <f t="shared" si="7"/>
        <v>13009.293287566577</v>
      </c>
      <c r="K22" s="44">
        <f t="shared" si="7"/>
        <v>13358.388252300114</v>
      </c>
      <c r="L22" s="44">
        <f t="shared" si="7"/>
        <v>13345.66027549956</v>
      </c>
      <c r="M22" s="44">
        <f t="shared" si="7"/>
        <v>12452.890728321432</v>
      </c>
      <c r="N22" s="44">
        <f t="shared" si="7"/>
        <v>12453.689537247699</v>
      </c>
      <c r="O22" s="44">
        <f t="shared" si="7"/>
        <v>12102.091118022594</v>
      </c>
      <c r="P22" s="44">
        <f t="shared" si="7"/>
        <v>12449.315686992239</v>
      </c>
      <c r="Q22" s="44">
        <f t="shared" si="7"/>
        <v>12448.628892992838</v>
      </c>
      <c r="R22" s="44">
        <f t="shared" si="7"/>
        <v>12099.276948478288</v>
      </c>
      <c r="S22" s="44">
        <f t="shared" si="7"/>
        <v>12099.662397417371</v>
      </c>
      <c r="T22" s="44">
        <f t="shared" si="7"/>
        <v>12325.962718957097</v>
      </c>
      <c r="U22" s="72">
        <f t="shared" si="7"/>
        <v>153363.02232640694</v>
      </c>
      <c r="V22" s="44">
        <f t="shared" si="7"/>
        <v>149717.57166672297</v>
      </c>
      <c r="W22" s="84">
        <f t="shared" si="7"/>
        <v>3645.4506596839547</v>
      </c>
      <c r="Y22" s="242">
        <f>U22-V22</f>
        <v>3645.4506596839637</v>
      </c>
    </row>
    <row r="23" spans="1:27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0"/>
      <c r="V23" s="50"/>
      <c r="W23" s="82"/>
      <c r="Y23" s="243"/>
    </row>
    <row r="24" spans="1:27" ht="15.75" customHeight="1" x14ac:dyDescent="0.3">
      <c r="A24" s="33"/>
      <c r="B24" s="33"/>
      <c r="C24" s="40" t="str">
        <f>'2025 Forecast'!C24</f>
        <v>Administrative Expense</v>
      </c>
      <c r="D24" s="33"/>
      <c r="E24" s="33"/>
      <c r="F24" s="33"/>
      <c r="G24" s="33"/>
      <c r="H24" s="33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70"/>
      <c r="V24" s="50"/>
      <c r="W24" s="82"/>
      <c r="Y24" s="243"/>
    </row>
    <row r="25" spans="1:27" ht="15.75" customHeight="1" x14ac:dyDescent="0.3">
      <c r="A25" s="33"/>
      <c r="B25" s="33"/>
      <c r="C25" s="127"/>
      <c r="D25" s="45" t="str">
        <f>'2025 Forecast'!D25</f>
        <v>Bank Service Charges &amp; Fees</v>
      </c>
      <c r="E25" s="33"/>
      <c r="F25" s="33"/>
      <c r="G25" s="33"/>
      <c r="H25" s="33"/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70">
        <f t="shared" ref="U25:U36" si="8">SUM(I25:T25)</f>
        <v>0</v>
      </c>
      <c r="V25" s="50">
        <f>'2025 Forecast'!O25</f>
        <v>0</v>
      </c>
      <c r="W25" s="82">
        <f>V25-U25</f>
        <v>0</v>
      </c>
      <c r="Y25" s="243"/>
    </row>
    <row r="26" spans="1:27" ht="15.75" customHeight="1" x14ac:dyDescent="0.3">
      <c r="A26" s="33"/>
      <c r="B26" s="33"/>
      <c r="C26" s="33"/>
      <c r="D26" s="45" t="str">
        <f>'2025 Forecast'!D26</f>
        <v>Accounting Fees-incl. tax/audit</v>
      </c>
      <c r="E26" s="33"/>
      <c r="F26" s="33"/>
      <c r="G26" s="33"/>
      <c r="H26" s="33"/>
      <c r="I26" s="42">
        <v>442</v>
      </c>
      <c r="J26" s="50">
        <f>I26</f>
        <v>442</v>
      </c>
      <c r="K26" s="50">
        <f t="shared" ref="K26:P26" si="9">J26</f>
        <v>442</v>
      </c>
      <c r="L26" s="50">
        <f t="shared" si="9"/>
        <v>442</v>
      </c>
      <c r="M26" s="50">
        <f t="shared" si="9"/>
        <v>442</v>
      </c>
      <c r="N26" s="50">
        <f t="shared" si="9"/>
        <v>442</v>
      </c>
      <c r="O26" s="50">
        <f t="shared" si="9"/>
        <v>442</v>
      </c>
      <c r="P26" s="50">
        <f t="shared" si="9"/>
        <v>442</v>
      </c>
      <c r="Q26" s="42">
        <f>P26+2000</f>
        <v>2442</v>
      </c>
      <c r="R26" s="50">
        <f>P26</f>
        <v>442</v>
      </c>
      <c r="S26" s="50">
        <f>R26</f>
        <v>442</v>
      </c>
      <c r="T26" s="50">
        <f t="shared" ref="T26" si="10">R26</f>
        <v>442</v>
      </c>
      <c r="U26" s="70">
        <f t="shared" si="8"/>
        <v>7304</v>
      </c>
      <c r="V26" s="50">
        <f>'2025 Forecast'!O26</f>
        <v>6647.9</v>
      </c>
      <c r="W26" s="82">
        <f>V26-U26</f>
        <v>-656.10000000000036</v>
      </c>
      <c r="X26" s="33"/>
      <c r="Y26" s="243"/>
    </row>
    <row r="27" spans="1:27" ht="15.75" customHeight="1" x14ac:dyDescent="0.3">
      <c r="A27" s="33"/>
      <c r="B27" s="33"/>
      <c r="C27" s="33"/>
      <c r="D27" s="48" t="str">
        <f>'2025 Forecast'!D27</f>
        <v>Benevolence Fund &amp; Donations</v>
      </c>
      <c r="E27" s="33"/>
      <c r="F27" s="33"/>
      <c r="G27" s="33"/>
      <c r="H27" s="33"/>
      <c r="I27" s="42">
        <v>0</v>
      </c>
      <c r="J27" s="42">
        <v>35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75</v>
      </c>
      <c r="R27" s="42">
        <v>0</v>
      </c>
      <c r="S27" s="42">
        <v>0</v>
      </c>
      <c r="T27" s="42">
        <v>400</v>
      </c>
      <c r="U27" s="70">
        <f t="shared" si="8"/>
        <v>510</v>
      </c>
      <c r="V27" s="50">
        <f>'2025 Forecast'!O27</f>
        <v>665</v>
      </c>
      <c r="W27" s="82">
        <f>V27-U27</f>
        <v>155</v>
      </c>
      <c r="Y27" s="243"/>
    </row>
    <row r="28" spans="1:27" ht="15.75" customHeight="1" x14ac:dyDescent="0.3">
      <c r="A28" s="33"/>
      <c r="B28" s="33"/>
      <c r="C28" s="33"/>
      <c r="D28" s="45" t="str">
        <f>'2025 Forecast'!D28</f>
        <v>Insurance</v>
      </c>
      <c r="E28" s="33"/>
      <c r="F28" s="33"/>
      <c r="G28" s="33"/>
      <c r="H28" s="33"/>
      <c r="I28" s="42">
        <v>0</v>
      </c>
      <c r="J28" s="42">
        <v>0</v>
      </c>
      <c r="K28" s="42">
        <v>0</v>
      </c>
      <c r="L28" s="42">
        <v>7000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70">
        <f t="shared" si="8"/>
        <v>7000</v>
      </c>
      <c r="V28" s="50">
        <f>'2025 Forecast'!O28</f>
        <v>7621.56</v>
      </c>
      <c r="W28" s="82">
        <f t="shared" ref="W28:W36" si="11">V28-U28</f>
        <v>621.5600000000004</v>
      </c>
      <c r="Y28" s="243"/>
    </row>
    <row r="29" spans="1:27" ht="15.75" customHeight="1" x14ac:dyDescent="0.3">
      <c r="A29" s="33"/>
      <c r="B29" s="33"/>
      <c r="C29" s="33"/>
      <c r="D29" s="33" t="str">
        <f>'2025 Forecast'!D29</f>
        <v>Interest Expense - Loan</v>
      </c>
      <c r="E29" s="33"/>
      <c r="F29" s="33"/>
      <c r="G29" s="33"/>
      <c r="H29" s="33"/>
      <c r="I29" s="50">
        <f>I130</f>
        <v>260.3684026194266</v>
      </c>
      <c r="J29" s="50">
        <f t="shared" ref="J29:T29" si="12">J130</f>
        <v>227.32013721882257</v>
      </c>
      <c r="K29" s="50">
        <f t="shared" si="12"/>
        <v>202.26265083322781</v>
      </c>
      <c r="L29" s="50">
        <f t="shared" si="12"/>
        <v>186.87096830024487</v>
      </c>
      <c r="M29" s="50">
        <f t="shared" si="12"/>
        <v>183.81282146055764</v>
      </c>
      <c r="N29" s="50">
        <f t="shared" si="12"/>
        <v>168.87183863216322</v>
      </c>
      <c r="O29" s="50">
        <f t="shared" si="12"/>
        <v>165.06809597696716</v>
      </c>
      <c r="P29" s="50">
        <f t="shared" si="12"/>
        <v>155.60451724798961</v>
      </c>
      <c r="Q29" s="50">
        <f t="shared" si="12"/>
        <v>141.35261799423131</v>
      </c>
      <c r="R29" s="50">
        <f t="shared" si="12"/>
        <v>136.40891934493558</v>
      </c>
      <c r="S29" s="50">
        <f t="shared" si="12"/>
        <v>122.62593772339788</v>
      </c>
      <c r="T29" s="50">
        <f t="shared" si="12"/>
        <v>116.90650520775495</v>
      </c>
      <c r="U29" s="70">
        <f t="shared" si="8"/>
        <v>2067.4734125597192</v>
      </c>
      <c r="V29" s="50">
        <f>'2025 Forecast'!O29</f>
        <v>3975.7411166031907</v>
      </c>
      <c r="W29" s="82">
        <f t="shared" si="11"/>
        <v>1908.2677040434714</v>
      </c>
      <c r="Y29" s="243"/>
    </row>
    <row r="30" spans="1:27" ht="15.75" customHeight="1" x14ac:dyDescent="0.3">
      <c r="A30" s="33"/>
      <c r="B30" s="33"/>
      <c r="C30" s="33"/>
      <c r="D30" s="45" t="str">
        <f>'2025 Forecast'!D30</f>
        <v>Legal Fees - incl. court filings, liens</v>
      </c>
      <c r="E30" s="33"/>
      <c r="F30" s="33"/>
      <c r="G30" s="33"/>
      <c r="H30" s="33"/>
      <c r="I30" s="42">
        <v>0</v>
      </c>
      <c r="J30" s="42">
        <v>0</v>
      </c>
      <c r="K30" s="42">
        <v>600</v>
      </c>
      <c r="L30" s="42">
        <v>0</v>
      </c>
      <c r="M30" s="42">
        <v>0</v>
      </c>
      <c r="N30" s="42">
        <v>600</v>
      </c>
      <c r="O30" s="42">
        <v>0</v>
      </c>
      <c r="P30" s="42">
        <v>0</v>
      </c>
      <c r="Q30" s="42">
        <v>600</v>
      </c>
      <c r="R30" s="42">
        <v>0</v>
      </c>
      <c r="S30" s="42">
        <v>0</v>
      </c>
      <c r="T30" s="42">
        <v>0</v>
      </c>
      <c r="U30" s="70">
        <f t="shared" si="8"/>
        <v>1800</v>
      </c>
      <c r="V30" s="50">
        <f>'2025 Forecast'!O30</f>
        <v>5437.55</v>
      </c>
      <c r="W30" s="82">
        <f t="shared" si="11"/>
        <v>3637.55</v>
      </c>
      <c r="Y30" s="243"/>
    </row>
    <row r="31" spans="1:27" ht="15.75" customHeight="1" x14ac:dyDescent="0.3">
      <c r="A31" s="33"/>
      <c r="B31" s="33"/>
      <c r="C31" s="33"/>
      <c r="D31" s="45" t="str">
        <f>'2025 Forecast'!D31</f>
        <v>Local Taxes</v>
      </c>
      <c r="E31" s="33"/>
      <c r="F31" s="33"/>
      <c r="G31" s="33"/>
      <c r="H31" s="33"/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70">
        <f t="shared" si="8"/>
        <v>0</v>
      </c>
      <c r="V31" s="50">
        <f>'2025 Forecast'!O31</f>
        <v>0</v>
      </c>
      <c r="W31" s="82">
        <f t="shared" si="11"/>
        <v>0</v>
      </c>
      <c r="Y31" s="243"/>
    </row>
    <row r="32" spans="1:27" ht="15.75" customHeight="1" x14ac:dyDescent="0.3">
      <c r="A32" s="33"/>
      <c r="B32" s="33"/>
      <c r="C32" s="33"/>
      <c r="D32" s="45" t="s">
        <v>145</v>
      </c>
      <c r="E32" s="33"/>
      <c r="F32" s="33"/>
      <c r="G32" s="33"/>
      <c r="H32" s="33"/>
      <c r="I32" s="42">
        <v>0</v>
      </c>
      <c r="J32" s="42">
        <v>0</v>
      </c>
      <c r="K32" s="42">
        <v>0</v>
      </c>
      <c r="L32" s="42">
        <v>100</v>
      </c>
      <c r="M32" s="42">
        <v>0</v>
      </c>
      <c r="N32" s="42">
        <v>0</v>
      </c>
      <c r="O32" s="42">
        <v>0</v>
      </c>
      <c r="P32" s="42">
        <v>0</v>
      </c>
      <c r="Q32" s="42">
        <v>50</v>
      </c>
      <c r="R32" s="42">
        <v>0</v>
      </c>
      <c r="S32" s="42">
        <v>100</v>
      </c>
      <c r="T32" s="42">
        <v>0</v>
      </c>
      <c r="U32" s="70">
        <f t="shared" si="8"/>
        <v>250</v>
      </c>
      <c r="V32" s="50">
        <f>'2025 Forecast'!O32</f>
        <v>143.51</v>
      </c>
      <c r="W32" s="82">
        <f t="shared" si="11"/>
        <v>-106.49000000000001</v>
      </c>
      <c r="Y32" s="243"/>
    </row>
    <row r="33" spans="1:25" ht="15.75" customHeight="1" x14ac:dyDescent="0.3">
      <c r="A33" s="33"/>
      <c r="B33" s="33"/>
      <c r="C33" s="33"/>
      <c r="D33" s="45" t="str">
        <f>'2025 Forecast'!D33</f>
        <v>Postage &amp; PO Box</v>
      </c>
      <c r="E33" s="33"/>
      <c r="F33" s="33"/>
      <c r="G33" s="33"/>
      <c r="H33" s="33"/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240</v>
      </c>
      <c r="S33" s="42">
        <v>0</v>
      </c>
      <c r="T33" s="42">
        <v>0</v>
      </c>
      <c r="U33" s="70">
        <f t="shared" si="8"/>
        <v>240</v>
      </c>
      <c r="V33" s="50">
        <f>'2025 Forecast'!O33</f>
        <v>293.92</v>
      </c>
      <c r="W33" s="82">
        <f t="shared" si="11"/>
        <v>53.920000000000016</v>
      </c>
      <c r="Y33" s="243"/>
    </row>
    <row r="34" spans="1:25" ht="15.75" customHeight="1" x14ac:dyDescent="0.3">
      <c r="A34" s="33"/>
      <c r="B34" s="33"/>
      <c r="C34" s="33"/>
      <c r="D34" s="45" t="str">
        <f>'2025 Forecast'!D34</f>
        <v>Security - Park Patrol</v>
      </c>
      <c r="E34" s="33"/>
      <c r="F34" s="33"/>
      <c r="G34" s="33"/>
      <c r="H34" s="33"/>
      <c r="I34" s="50">
        <f>'Security Patrol'!H7</f>
        <v>600</v>
      </c>
      <c r="J34" s="50">
        <f>'Security Patrol'!I7</f>
        <v>400</v>
      </c>
      <c r="K34" s="50">
        <f>'Security Patrol'!J7</f>
        <v>700</v>
      </c>
      <c r="L34" s="50">
        <f>'Security Patrol'!K7</f>
        <v>800</v>
      </c>
      <c r="M34" s="50">
        <f>'Security Patrol'!L7</f>
        <v>1000</v>
      </c>
      <c r="N34" s="50">
        <f>'Security Patrol'!M7</f>
        <v>800</v>
      </c>
      <c r="O34" s="50">
        <f>'Security Patrol'!N7</f>
        <v>800</v>
      </c>
      <c r="P34" s="50">
        <f>'Security Patrol'!O7</f>
        <v>1000</v>
      </c>
      <c r="Q34" s="50">
        <f>'Security Patrol'!P7</f>
        <v>800</v>
      </c>
      <c r="R34" s="50">
        <f>'Security Patrol'!Q7</f>
        <v>900</v>
      </c>
      <c r="S34" s="50">
        <f>'Security Patrol'!R7</f>
        <v>600</v>
      </c>
      <c r="T34" s="50">
        <f>'Security Patrol'!S7</f>
        <v>600</v>
      </c>
      <c r="U34" s="70">
        <f t="shared" si="8"/>
        <v>9000</v>
      </c>
      <c r="V34" s="50">
        <f>'2025 Forecast'!O34</f>
        <v>10300</v>
      </c>
      <c r="W34" s="82">
        <f t="shared" si="11"/>
        <v>1300</v>
      </c>
      <c r="Y34" s="243"/>
    </row>
    <row r="35" spans="1:25" ht="15.75" customHeight="1" x14ac:dyDescent="0.3">
      <c r="A35" s="33"/>
      <c r="B35" s="33"/>
      <c r="C35" s="33"/>
      <c r="D35" s="33" t="str">
        <f>'2025 Forecast'!D35</f>
        <v>Social Events - incl. food &amp; beverage</v>
      </c>
      <c r="E35" s="33"/>
      <c r="F35" s="33"/>
      <c r="G35" s="33"/>
      <c r="H35" s="114"/>
      <c r="I35" s="42">
        <v>0</v>
      </c>
      <c r="J35" s="42">
        <v>0</v>
      </c>
      <c r="K35" s="42">
        <v>0</v>
      </c>
      <c r="L35" s="42">
        <v>200</v>
      </c>
      <c r="M35" s="42">
        <v>0</v>
      </c>
      <c r="N35" s="42">
        <v>0</v>
      </c>
      <c r="O35" s="42">
        <v>400</v>
      </c>
      <c r="P35" s="42">
        <v>0</v>
      </c>
      <c r="Q35" s="42">
        <v>0</v>
      </c>
      <c r="R35" s="42">
        <v>200</v>
      </c>
      <c r="S35" s="42">
        <v>0</v>
      </c>
      <c r="T35" s="42">
        <v>250</v>
      </c>
      <c r="U35" s="70">
        <f t="shared" si="8"/>
        <v>1050</v>
      </c>
      <c r="V35" s="50">
        <f>'2025 Forecast'!O35</f>
        <v>837.39</v>
      </c>
      <c r="W35" s="82">
        <f t="shared" si="11"/>
        <v>-212.61</v>
      </c>
      <c r="Y35" s="243"/>
    </row>
    <row r="36" spans="1:25" ht="15.75" customHeight="1" x14ac:dyDescent="0.3">
      <c r="A36" s="33"/>
      <c r="B36" s="33"/>
      <c r="C36" s="33"/>
      <c r="D36" s="136" t="str">
        <f>'2025 Forecast'!D36</f>
        <v>Web Site</v>
      </c>
      <c r="E36" s="33"/>
      <c r="F36" s="33"/>
      <c r="G36" s="33"/>
      <c r="H36" s="33"/>
      <c r="I36" s="206">
        <v>46</v>
      </c>
      <c r="J36" s="206">
        <v>46</v>
      </c>
      <c r="K36" s="206">
        <v>46</v>
      </c>
      <c r="L36" s="206">
        <v>46</v>
      </c>
      <c r="M36" s="206">
        <v>46</v>
      </c>
      <c r="N36" s="206">
        <v>46</v>
      </c>
      <c r="O36" s="206">
        <v>46</v>
      </c>
      <c r="P36" s="206">
        <v>46</v>
      </c>
      <c r="Q36" s="206">
        <v>46</v>
      </c>
      <c r="R36" s="206">
        <v>46</v>
      </c>
      <c r="S36" s="206">
        <v>46</v>
      </c>
      <c r="T36" s="206">
        <v>46</v>
      </c>
      <c r="U36" s="207">
        <f t="shared" si="8"/>
        <v>552</v>
      </c>
      <c r="V36" s="74">
        <f>'2025 Forecast'!O36</f>
        <v>584.04</v>
      </c>
      <c r="W36" s="208">
        <f t="shared" si="11"/>
        <v>32.039999999999964</v>
      </c>
      <c r="Y36" s="243"/>
    </row>
    <row r="37" spans="1:25" ht="15.75" customHeight="1" x14ac:dyDescent="0.3">
      <c r="A37" s="33"/>
      <c r="B37" s="33"/>
      <c r="C37" s="127"/>
      <c r="D37" s="45"/>
      <c r="E37" s="33"/>
      <c r="F37" s="33"/>
      <c r="G37" s="33"/>
      <c r="H37" s="33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70"/>
      <c r="V37" s="50"/>
      <c r="W37" s="82"/>
      <c r="Y37" s="243"/>
    </row>
    <row r="38" spans="1:25" ht="15.75" customHeight="1" x14ac:dyDescent="0.3">
      <c r="A38" s="33"/>
      <c r="B38" s="33"/>
      <c r="C38" s="40" t="str">
        <f>'2025 Forecast'!C38</f>
        <v>Total Administrative Expenses</v>
      </c>
      <c r="D38" s="45"/>
      <c r="E38" s="33"/>
      <c r="F38" s="33"/>
      <c r="G38" s="33"/>
      <c r="H38" s="33"/>
      <c r="I38" s="44">
        <f t="shared" ref="I38:W38" si="13">SUM(I25:I37)</f>
        <v>1348.3684026194267</v>
      </c>
      <c r="J38" s="44">
        <f t="shared" si="13"/>
        <v>1150.3201372188225</v>
      </c>
      <c r="K38" s="44">
        <f t="shared" si="13"/>
        <v>1990.2626508332278</v>
      </c>
      <c r="L38" s="44">
        <f t="shared" si="13"/>
        <v>8774.8709683002453</v>
      </c>
      <c r="M38" s="44">
        <f t="shared" si="13"/>
        <v>1671.8128214605576</v>
      </c>
      <c r="N38" s="44">
        <f t="shared" si="13"/>
        <v>2056.8718386321634</v>
      </c>
      <c r="O38" s="44">
        <f t="shared" si="13"/>
        <v>1853.068095976967</v>
      </c>
      <c r="P38" s="44">
        <f t="shared" si="13"/>
        <v>1643.6045172479896</v>
      </c>
      <c r="Q38" s="44">
        <f t="shared" si="13"/>
        <v>4154.352617994231</v>
      </c>
      <c r="R38" s="44">
        <f t="shared" si="13"/>
        <v>1964.4089193449356</v>
      </c>
      <c r="S38" s="44">
        <f t="shared" si="13"/>
        <v>1310.6259377233978</v>
      </c>
      <c r="T38" s="44">
        <f t="shared" si="13"/>
        <v>1854.9065052077549</v>
      </c>
      <c r="U38" s="72">
        <f t="shared" si="13"/>
        <v>29773.473412559721</v>
      </c>
      <c r="V38" s="44">
        <f t="shared" si="13"/>
        <v>36506.611116603184</v>
      </c>
      <c r="W38" s="84">
        <f t="shared" si="13"/>
        <v>6733.1377040434727</v>
      </c>
      <c r="Y38" s="242">
        <f>V38-U38</f>
        <v>6733.1377040434636</v>
      </c>
    </row>
    <row r="39" spans="1:25" ht="15.75" customHeight="1" x14ac:dyDescent="0.3">
      <c r="A39" s="33"/>
      <c r="B39" s="33"/>
      <c r="C39" s="127"/>
      <c r="D39" s="45"/>
      <c r="E39" s="33"/>
      <c r="F39" s="33"/>
      <c r="G39" s="33"/>
      <c r="H39" s="33"/>
      <c r="I39" s="33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70"/>
      <c r="V39" s="50"/>
      <c r="W39" s="82"/>
      <c r="Y39" s="243"/>
    </row>
    <row r="40" spans="1:25" ht="15.75" customHeight="1" x14ac:dyDescent="0.3">
      <c r="A40" s="33"/>
      <c r="B40" s="33"/>
      <c r="C40" s="47" t="str">
        <f>'2025 Forecast'!C40</f>
        <v>Maintenance &amp; Repairs</v>
      </c>
      <c r="D40" s="45"/>
      <c r="E40" s="33"/>
      <c r="F40" s="33"/>
      <c r="G40" s="33"/>
      <c r="H40" s="3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0"/>
      <c r="V40" s="50"/>
      <c r="W40" s="82"/>
      <c r="X40" s="33"/>
      <c r="Y40" s="243"/>
    </row>
    <row r="41" spans="1:25" ht="15.75" customHeight="1" x14ac:dyDescent="0.3">
      <c r="A41" s="33"/>
      <c r="B41" s="33"/>
      <c r="C41" s="127"/>
      <c r="D41" s="45" t="str">
        <f>'2025 Forecast'!D41</f>
        <v>Electrical</v>
      </c>
      <c r="E41" s="33"/>
      <c r="F41" s="33"/>
      <c r="G41" s="33"/>
      <c r="H41" s="33"/>
      <c r="I41" s="42">
        <v>0</v>
      </c>
      <c r="J41" s="42">
        <v>0</v>
      </c>
      <c r="K41" s="42">
        <v>0</v>
      </c>
      <c r="L41" s="42">
        <v>500</v>
      </c>
      <c r="M41" s="42">
        <v>0</v>
      </c>
      <c r="N41" s="42">
        <v>750</v>
      </c>
      <c r="O41" s="42">
        <v>0</v>
      </c>
      <c r="P41" s="42">
        <v>0</v>
      </c>
      <c r="Q41" s="42">
        <v>0</v>
      </c>
      <c r="R41" s="42">
        <v>750</v>
      </c>
      <c r="S41" s="42">
        <v>0</v>
      </c>
      <c r="T41" s="42">
        <v>0</v>
      </c>
      <c r="U41" s="70">
        <f t="shared" ref="U41:U47" si="14">SUM(I41:T41)</f>
        <v>2000</v>
      </c>
      <c r="V41" s="50">
        <f>'2025 Forecast'!O41</f>
        <v>4205</v>
      </c>
      <c r="W41" s="82">
        <f t="shared" ref="W41:W47" si="15">V41-U41</f>
        <v>2205</v>
      </c>
      <c r="Y41" s="243"/>
    </row>
    <row r="42" spans="1:25" ht="15.75" customHeight="1" x14ac:dyDescent="0.3">
      <c r="A42" s="33"/>
      <c r="B42" s="33"/>
      <c r="C42" s="127"/>
      <c r="D42" s="45" t="str">
        <f>'2025 Forecast'!D42</f>
        <v>Fences &amp; Gates</v>
      </c>
      <c r="E42" s="33"/>
      <c r="F42" s="33"/>
      <c r="G42" s="33"/>
      <c r="H42" s="170"/>
      <c r="I42" s="42">
        <v>0</v>
      </c>
      <c r="J42" s="42">
        <v>0</v>
      </c>
      <c r="K42" s="42">
        <v>0</v>
      </c>
      <c r="L42" s="42">
        <v>0</v>
      </c>
      <c r="M42" s="42">
        <v>2500</v>
      </c>
      <c r="N42" s="42">
        <v>0</v>
      </c>
      <c r="O42" s="42">
        <v>0</v>
      </c>
      <c r="P42" s="42">
        <v>500</v>
      </c>
      <c r="Q42" s="42">
        <v>0</v>
      </c>
      <c r="R42" s="42">
        <v>0</v>
      </c>
      <c r="S42" s="42">
        <v>0</v>
      </c>
      <c r="T42" s="42">
        <v>0</v>
      </c>
      <c r="U42" s="70">
        <f t="shared" si="14"/>
        <v>3000</v>
      </c>
      <c r="V42" s="50">
        <f>'2025 Forecast'!O42</f>
        <v>6101</v>
      </c>
      <c r="W42" s="82">
        <f t="shared" si="15"/>
        <v>3101</v>
      </c>
      <c r="Y42" s="243"/>
    </row>
    <row r="43" spans="1:25" ht="15.75" customHeight="1" x14ac:dyDescent="0.3">
      <c r="A43" s="33"/>
      <c r="B43" s="33"/>
      <c r="C43" s="127"/>
      <c r="D43" s="45" t="str">
        <f>'2025 Forecast'!D43</f>
        <v>Plumbing</v>
      </c>
      <c r="E43" s="33"/>
      <c r="F43" s="33"/>
      <c r="G43" s="33"/>
      <c r="H43" s="170"/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250</v>
      </c>
      <c r="O43" s="42">
        <v>300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70">
        <f t="shared" si="14"/>
        <v>550</v>
      </c>
      <c r="V43" s="50">
        <f>'2025 Forecast'!O43</f>
        <v>350</v>
      </c>
      <c r="W43" s="82">
        <f t="shared" si="15"/>
        <v>-200</v>
      </c>
      <c r="Y43" s="243"/>
    </row>
    <row r="44" spans="1:25" ht="15.75" customHeight="1" x14ac:dyDescent="0.3">
      <c r="A44" s="33"/>
      <c r="B44" s="33"/>
      <c r="C44" s="127"/>
      <c r="D44" s="45" t="str">
        <f>'2025 Forecast'!D44</f>
        <v>Rear walkways &amp; Common Park walkway</v>
      </c>
      <c r="E44" s="33"/>
      <c r="F44" s="33"/>
      <c r="G44" s="33"/>
      <c r="H44" s="33"/>
      <c r="I44" s="42">
        <v>0</v>
      </c>
      <c r="J44" s="42">
        <v>0</v>
      </c>
      <c r="K44" s="42">
        <v>0</v>
      </c>
      <c r="L44" s="42">
        <v>500</v>
      </c>
      <c r="M44" s="42">
        <v>0</v>
      </c>
      <c r="N44" s="42">
        <v>0</v>
      </c>
      <c r="O44" s="42">
        <v>0</v>
      </c>
      <c r="P44" s="42">
        <v>500</v>
      </c>
      <c r="Q44" s="42">
        <v>0</v>
      </c>
      <c r="R44" s="42">
        <v>500</v>
      </c>
      <c r="S44" s="42">
        <v>0</v>
      </c>
      <c r="T44" s="42">
        <v>0</v>
      </c>
      <c r="U44" s="70">
        <f t="shared" si="14"/>
        <v>1500</v>
      </c>
      <c r="V44" s="50">
        <f>'2025 Forecast'!O44</f>
        <v>1865.46</v>
      </c>
      <c r="W44" s="82">
        <f t="shared" si="15"/>
        <v>365.46000000000004</v>
      </c>
      <c r="Y44" s="243"/>
    </row>
    <row r="45" spans="1:25" ht="15.75" customHeight="1" x14ac:dyDescent="0.3">
      <c r="A45" s="33"/>
      <c r="B45" s="33"/>
      <c r="C45" s="127"/>
      <c r="D45" s="45" t="str">
        <f>'2025 Forecast'!D45</f>
        <v>Signs</v>
      </c>
      <c r="E45" s="33"/>
      <c r="F45" s="33"/>
      <c r="G45" s="33"/>
      <c r="H45" s="33"/>
      <c r="I45" s="42">
        <v>0</v>
      </c>
      <c r="J45" s="42">
        <v>0</v>
      </c>
      <c r="K45" s="42">
        <v>150</v>
      </c>
      <c r="L45" s="42">
        <v>0</v>
      </c>
      <c r="M45" s="42">
        <v>0</v>
      </c>
      <c r="N45" s="42">
        <v>300</v>
      </c>
      <c r="O45" s="42">
        <v>0</v>
      </c>
      <c r="P45" s="42">
        <v>0</v>
      </c>
      <c r="Q45" s="42">
        <v>150</v>
      </c>
      <c r="R45" s="42">
        <v>0</v>
      </c>
      <c r="S45" s="42">
        <v>0</v>
      </c>
      <c r="T45" s="42">
        <v>0</v>
      </c>
      <c r="U45" s="70">
        <f t="shared" si="14"/>
        <v>600</v>
      </c>
      <c r="V45" s="50">
        <f>'2025 Forecast'!O45</f>
        <v>1132.26</v>
      </c>
      <c r="W45" s="82">
        <f t="shared" si="15"/>
        <v>532.26</v>
      </c>
      <c r="Y45" s="243"/>
    </row>
    <row r="46" spans="1:25" ht="15.75" customHeight="1" x14ac:dyDescent="0.3">
      <c r="A46" s="33"/>
      <c r="B46" s="33"/>
      <c r="C46" s="127"/>
      <c r="D46" s="45" t="str">
        <f>'2025 Forecast'!D46</f>
        <v>Trash Collection</v>
      </c>
      <c r="E46" s="33"/>
      <c r="F46" s="33"/>
      <c r="G46" s="33"/>
      <c r="H46" s="33"/>
      <c r="I46" s="42">
        <v>0</v>
      </c>
      <c r="J46" s="42">
        <v>0</v>
      </c>
      <c r="K46" s="42">
        <v>100</v>
      </c>
      <c r="L46" s="42">
        <v>0</v>
      </c>
      <c r="M46" s="42">
        <v>0</v>
      </c>
      <c r="N46" s="42"/>
      <c r="O46" s="42">
        <v>0</v>
      </c>
      <c r="P46" s="42">
        <v>0</v>
      </c>
      <c r="Q46" s="42">
        <v>0</v>
      </c>
      <c r="R46" s="42">
        <v>0</v>
      </c>
      <c r="S46" s="42">
        <v>100</v>
      </c>
      <c r="T46" s="42">
        <v>0</v>
      </c>
      <c r="U46" s="70">
        <f t="shared" ref="U46" si="16">SUM(I46:T46)</f>
        <v>200</v>
      </c>
      <c r="V46" s="50">
        <f>'2025 Forecast'!O46</f>
        <v>195</v>
      </c>
      <c r="W46" s="82">
        <f t="shared" ref="W46" si="17">V46-U46</f>
        <v>-5</v>
      </c>
      <c r="Y46" s="243"/>
    </row>
    <row r="47" spans="1:25" ht="15.75" customHeight="1" x14ac:dyDescent="0.3">
      <c r="A47" s="33"/>
      <c r="B47" s="33"/>
      <c r="C47" s="127"/>
      <c r="D47" s="45" t="str">
        <f>'2025 Forecast'!D47</f>
        <v>Tennis &amp; Basketball Courts</v>
      </c>
      <c r="E47" s="33"/>
      <c r="F47" s="33"/>
      <c r="G47" s="33"/>
      <c r="H47" s="33"/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200</v>
      </c>
      <c r="O47" s="42">
        <v>0</v>
      </c>
      <c r="P47" s="42">
        <v>300</v>
      </c>
      <c r="Q47" s="42">
        <v>0</v>
      </c>
      <c r="R47" s="42">
        <v>0</v>
      </c>
      <c r="S47" s="42">
        <v>0</v>
      </c>
      <c r="T47" s="42">
        <v>0</v>
      </c>
      <c r="U47" s="207">
        <f t="shared" si="14"/>
        <v>500</v>
      </c>
      <c r="V47" s="74">
        <f>'2025 Forecast'!O47</f>
        <v>150</v>
      </c>
      <c r="W47" s="208">
        <f t="shared" si="15"/>
        <v>-350</v>
      </c>
      <c r="Y47" s="243"/>
    </row>
    <row r="48" spans="1:25" ht="15.75" customHeight="1" x14ac:dyDescent="0.3">
      <c r="A48" s="33"/>
      <c r="B48" s="33"/>
      <c r="C48" s="127"/>
      <c r="D48" s="45"/>
      <c r="E48" s="33"/>
      <c r="F48" s="33"/>
      <c r="G48" s="33"/>
      <c r="H48" s="33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46"/>
      <c r="U48" s="70"/>
      <c r="V48" s="50"/>
      <c r="W48" s="82"/>
      <c r="Y48" s="243"/>
    </row>
    <row r="49" spans="1:27" ht="15.75" customHeight="1" x14ac:dyDescent="0.3">
      <c r="A49" s="33"/>
      <c r="B49" s="33"/>
      <c r="C49" s="40" t="str">
        <f>'2025 Forecast'!C49</f>
        <v>Total Maintenance &amp; repairs</v>
      </c>
      <c r="D49" s="45"/>
      <c r="E49" s="33"/>
      <c r="F49" s="33"/>
      <c r="G49" s="33"/>
      <c r="H49" s="33"/>
      <c r="I49" s="44">
        <f t="shared" ref="I49:W49" si="18">SUM(I41:I48)</f>
        <v>0</v>
      </c>
      <c r="J49" s="44">
        <f t="shared" si="18"/>
        <v>0</v>
      </c>
      <c r="K49" s="44">
        <f t="shared" si="18"/>
        <v>250</v>
      </c>
      <c r="L49" s="44">
        <f t="shared" si="18"/>
        <v>1000</v>
      </c>
      <c r="M49" s="44">
        <f t="shared" si="18"/>
        <v>2500</v>
      </c>
      <c r="N49" s="44">
        <f t="shared" si="18"/>
        <v>1500</v>
      </c>
      <c r="O49" s="44">
        <f t="shared" si="18"/>
        <v>300</v>
      </c>
      <c r="P49" s="44">
        <f t="shared" si="18"/>
        <v>1300</v>
      </c>
      <c r="Q49" s="44">
        <f t="shared" si="18"/>
        <v>150</v>
      </c>
      <c r="R49" s="44">
        <f t="shared" si="18"/>
        <v>1250</v>
      </c>
      <c r="S49" s="44">
        <f t="shared" si="18"/>
        <v>100</v>
      </c>
      <c r="T49" s="250">
        <f t="shared" si="18"/>
        <v>0</v>
      </c>
      <c r="U49" s="72">
        <f t="shared" si="18"/>
        <v>8350</v>
      </c>
      <c r="V49" s="44">
        <f t="shared" si="18"/>
        <v>13998.72</v>
      </c>
      <c r="W49" s="84">
        <f t="shared" si="18"/>
        <v>5648.72</v>
      </c>
      <c r="Y49" s="242">
        <f>V49-U49</f>
        <v>5648.7199999999993</v>
      </c>
    </row>
    <row r="50" spans="1:27" ht="15.75" customHeight="1" x14ac:dyDescent="0.3">
      <c r="A50" s="33"/>
      <c r="B50" s="33"/>
      <c r="C50" s="127"/>
      <c r="D50" s="45"/>
      <c r="E50" s="33"/>
      <c r="F50" s="33"/>
      <c r="G50" s="33"/>
      <c r="H50" s="33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70"/>
      <c r="V50" s="50"/>
      <c r="W50" s="82"/>
      <c r="Y50" s="243"/>
    </row>
    <row r="51" spans="1:27" ht="15.75" customHeight="1" x14ac:dyDescent="0.3">
      <c r="A51" s="33"/>
      <c r="B51" s="33"/>
      <c r="C51" s="51" t="str">
        <f>'2025 Forecast'!C51</f>
        <v>Parks &amp; Grounds</v>
      </c>
      <c r="D51" s="45"/>
      <c r="E51" s="33"/>
      <c r="F51" s="33"/>
      <c r="G51" s="33"/>
      <c r="H51" s="33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70"/>
      <c r="V51" s="50"/>
      <c r="W51" s="82"/>
      <c r="Y51" s="243"/>
    </row>
    <row r="52" spans="1:27" ht="15.75" customHeight="1" x14ac:dyDescent="0.3">
      <c r="A52" s="33"/>
      <c r="B52" s="33"/>
      <c r="C52" s="45"/>
      <c r="D52" s="45" t="str">
        <f>'2025 Forecast'!D52</f>
        <v>Keys &amp; Locksmith</v>
      </c>
      <c r="E52" s="33"/>
      <c r="F52" s="33"/>
      <c r="G52" s="33"/>
      <c r="H52" s="33"/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350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70">
        <f t="shared" ref="U52:U59" si="19">SUM(I52:T52)</f>
        <v>350</v>
      </c>
      <c r="V52" s="50">
        <f>'2025 Forecast'!O52</f>
        <v>0</v>
      </c>
      <c r="W52" s="82">
        <f t="shared" ref="W52:W59" si="20">V52-U52</f>
        <v>-350</v>
      </c>
      <c r="Y52" s="243"/>
    </row>
    <row r="53" spans="1:27" ht="15.75" customHeight="1" x14ac:dyDescent="0.3">
      <c r="A53" s="33"/>
      <c r="B53" s="33"/>
      <c r="C53" s="45"/>
      <c r="D53" s="48" t="str">
        <f>'2025 Forecast'!D53</f>
        <v>Landscaping (walkways &amp; shrubs)</v>
      </c>
      <c r="E53" s="33"/>
      <c r="F53" s="33"/>
      <c r="G53" s="33"/>
      <c r="H53" s="33"/>
      <c r="I53" s="42">
        <v>0</v>
      </c>
      <c r="J53" s="42">
        <v>0</v>
      </c>
      <c r="K53" s="42">
        <v>0</v>
      </c>
      <c r="L53" s="42">
        <v>750</v>
      </c>
      <c r="M53" s="42">
        <v>0</v>
      </c>
      <c r="N53" s="42">
        <v>0</v>
      </c>
      <c r="O53" s="42">
        <v>750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70">
        <f t="shared" si="19"/>
        <v>1500</v>
      </c>
      <c r="V53" s="50">
        <f>'2025 Forecast'!O53</f>
        <v>1975</v>
      </c>
      <c r="W53" s="82">
        <f t="shared" si="20"/>
        <v>475</v>
      </c>
      <c r="Y53" s="243"/>
    </row>
    <row r="54" spans="1:27" ht="15.75" customHeight="1" x14ac:dyDescent="0.3">
      <c r="A54" s="33"/>
      <c r="B54" s="33"/>
      <c r="C54" s="45"/>
      <c r="D54" s="45" t="str">
        <f>'2025 Forecast'!D54</f>
        <v>Lawn Mowing Service</v>
      </c>
      <c r="E54" s="33"/>
      <c r="F54" s="33"/>
      <c r="G54" s="33"/>
      <c r="H54" s="42">
        <v>23000</v>
      </c>
      <c r="I54" s="42">
        <f>H54/12</f>
        <v>1916.6666666666667</v>
      </c>
      <c r="J54" s="50">
        <f>I54</f>
        <v>1916.6666666666667</v>
      </c>
      <c r="K54" s="50">
        <f t="shared" ref="K54:T54" si="21">J54</f>
        <v>1916.6666666666667</v>
      </c>
      <c r="L54" s="50">
        <f t="shared" si="21"/>
        <v>1916.6666666666667</v>
      </c>
      <c r="M54" s="50">
        <f t="shared" si="21"/>
        <v>1916.6666666666667</v>
      </c>
      <c r="N54" s="50">
        <f t="shared" si="21"/>
        <v>1916.6666666666667</v>
      </c>
      <c r="O54" s="50">
        <f t="shared" si="21"/>
        <v>1916.6666666666667</v>
      </c>
      <c r="P54" s="50">
        <f t="shared" si="21"/>
        <v>1916.6666666666667</v>
      </c>
      <c r="Q54" s="50">
        <f t="shared" si="21"/>
        <v>1916.6666666666667</v>
      </c>
      <c r="R54" s="50">
        <f t="shared" si="21"/>
        <v>1916.6666666666667</v>
      </c>
      <c r="S54" s="50">
        <f t="shared" si="21"/>
        <v>1916.6666666666667</v>
      </c>
      <c r="T54" s="50">
        <f t="shared" si="21"/>
        <v>1916.6666666666667</v>
      </c>
      <c r="U54" s="70">
        <f t="shared" si="19"/>
        <v>23000.000000000004</v>
      </c>
      <c r="V54" s="50">
        <f>'2025 Forecast'!O54</f>
        <v>22997.11</v>
      </c>
      <c r="W54" s="82">
        <f t="shared" si="20"/>
        <v>-2.8900000000030559</v>
      </c>
      <c r="Y54" s="243"/>
    </row>
    <row r="55" spans="1:27" ht="15.75" customHeight="1" x14ac:dyDescent="0.3">
      <c r="A55" s="33"/>
      <c r="B55" s="33"/>
      <c r="C55" s="45"/>
      <c r="D55" s="33" t="str">
        <f>'2025 Forecast'!D55</f>
        <v>Misc. Arapaho Median</v>
      </c>
      <c r="E55" s="33"/>
      <c r="F55" s="33"/>
      <c r="G55" s="33"/>
      <c r="H55" s="33"/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70">
        <f t="shared" si="19"/>
        <v>0</v>
      </c>
      <c r="V55" s="50">
        <f>'2025 Forecast'!O55</f>
        <v>0</v>
      </c>
      <c r="W55" s="82">
        <f t="shared" si="20"/>
        <v>0</v>
      </c>
      <c r="Y55" s="243"/>
    </row>
    <row r="56" spans="1:27" ht="15.75" customHeight="1" x14ac:dyDescent="0.3">
      <c r="A56" s="33"/>
      <c r="B56" s="33"/>
      <c r="C56" s="45"/>
      <c r="D56" s="45" t="str">
        <f>'2025 Forecast'!D56</f>
        <v>Misc. P&amp;G (doggie bags &amp; light bulbs)</v>
      </c>
      <c r="E56" s="33"/>
      <c r="F56" s="33"/>
      <c r="G56" s="33"/>
      <c r="H56" s="33"/>
      <c r="I56" s="42">
        <v>0</v>
      </c>
      <c r="J56" s="42">
        <v>0</v>
      </c>
      <c r="K56" s="42">
        <v>0</v>
      </c>
      <c r="L56" s="42">
        <v>150</v>
      </c>
      <c r="M56" s="42">
        <v>0</v>
      </c>
      <c r="N56" s="42">
        <v>0</v>
      </c>
      <c r="O56" s="42">
        <v>0</v>
      </c>
      <c r="P56" s="42">
        <v>0</v>
      </c>
      <c r="Q56" s="42">
        <v>150</v>
      </c>
      <c r="R56" s="42">
        <v>0</v>
      </c>
      <c r="S56" s="42">
        <v>0</v>
      </c>
      <c r="T56" s="42">
        <v>0</v>
      </c>
      <c r="U56" s="70">
        <f t="shared" si="19"/>
        <v>300</v>
      </c>
      <c r="V56" s="50">
        <f>'2025 Forecast'!O56</f>
        <v>447.02</v>
      </c>
      <c r="W56" s="82">
        <f t="shared" si="20"/>
        <v>147.01999999999998</v>
      </c>
      <c r="X56" s="33"/>
      <c r="Y56" s="243"/>
      <c r="Z56" s="33"/>
      <c r="AA56" s="33"/>
    </row>
    <row r="57" spans="1:27" ht="15.75" customHeight="1" x14ac:dyDescent="0.3">
      <c r="A57" s="33"/>
      <c r="B57" s="33"/>
      <c r="C57" s="45"/>
      <c r="D57" s="45" t="str">
        <f>'2025 Forecast'!D57</f>
        <v>Tree Trimming</v>
      </c>
      <c r="E57" s="33"/>
      <c r="F57" s="33"/>
      <c r="G57" s="33"/>
      <c r="H57" s="33"/>
      <c r="I57" s="42">
        <v>1500</v>
      </c>
      <c r="J57" s="42">
        <v>0</v>
      </c>
      <c r="K57" s="42">
        <v>0</v>
      </c>
      <c r="L57" s="42">
        <v>500</v>
      </c>
      <c r="M57" s="42">
        <v>0</v>
      </c>
      <c r="N57" s="42">
        <v>0</v>
      </c>
      <c r="O57" s="42">
        <v>500</v>
      </c>
      <c r="P57" s="42">
        <v>0</v>
      </c>
      <c r="Q57" s="42">
        <v>0</v>
      </c>
      <c r="R57" s="42">
        <v>2500</v>
      </c>
      <c r="S57" s="42">
        <v>0</v>
      </c>
      <c r="T57" s="42">
        <v>0</v>
      </c>
      <c r="U57" s="70">
        <f t="shared" si="19"/>
        <v>5000</v>
      </c>
      <c r="V57" s="50">
        <f>'2025 Forecast'!O57</f>
        <v>5090.9400000000005</v>
      </c>
      <c r="W57" s="82">
        <f t="shared" si="20"/>
        <v>90.940000000000509</v>
      </c>
      <c r="Y57" s="243"/>
    </row>
    <row r="58" spans="1:27" ht="15.75" customHeight="1" x14ac:dyDescent="0.3">
      <c r="A58" s="33"/>
      <c r="B58" s="33"/>
      <c r="C58" s="45"/>
      <c r="D58" s="45" t="s">
        <v>144</v>
      </c>
      <c r="E58" s="33"/>
      <c r="F58" s="33"/>
      <c r="G58" s="33"/>
      <c r="H58" s="33"/>
      <c r="I58" s="42">
        <v>0</v>
      </c>
      <c r="J58" s="42">
        <v>2500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70">
        <f t="shared" si="19"/>
        <v>2500</v>
      </c>
      <c r="V58" s="50">
        <f>'2025 Forecast'!O58</f>
        <v>2333.27</v>
      </c>
      <c r="W58" s="82">
        <f t="shared" si="20"/>
        <v>-166.73000000000002</v>
      </c>
      <c r="Y58" s="243"/>
    </row>
    <row r="59" spans="1:27" ht="15.75" customHeight="1" x14ac:dyDescent="0.3">
      <c r="A59" s="33"/>
      <c r="B59" s="33"/>
      <c r="C59" s="45"/>
      <c r="D59" s="33" t="str">
        <f>'2025 Forecast'!D59</f>
        <v>Sprinkler Repair</v>
      </c>
      <c r="E59" s="33"/>
      <c r="F59" s="33"/>
      <c r="G59" s="33"/>
      <c r="H59" s="33"/>
      <c r="I59" s="206">
        <v>0</v>
      </c>
      <c r="J59" s="206">
        <v>0</v>
      </c>
      <c r="K59" s="206">
        <v>1500</v>
      </c>
      <c r="L59" s="206">
        <v>0</v>
      </c>
      <c r="M59" s="206">
        <v>0</v>
      </c>
      <c r="N59" s="206">
        <v>750</v>
      </c>
      <c r="O59" s="206">
        <v>1500</v>
      </c>
      <c r="P59" s="206">
        <v>0</v>
      </c>
      <c r="Q59" s="206">
        <v>0</v>
      </c>
      <c r="R59" s="206">
        <v>0</v>
      </c>
      <c r="S59" s="206">
        <v>0</v>
      </c>
      <c r="T59" s="206">
        <v>0</v>
      </c>
      <c r="U59" s="207">
        <f t="shared" si="19"/>
        <v>3750</v>
      </c>
      <c r="V59" s="74">
        <f>'2025 Forecast'!O59</f>
        <v>4193.38</v>
      </c>
      <c r="W59" s="208">
        <f t="shared" si="20"/>
        <v>443.38000000000011</v>
      </c>
      <c r="Y59" s="243"/>
    </row>
    <row r="60" spans="1:27" ht="15.75" customHeight="1" x14ac:dyDescent="0.3">
      <c r="A60" s="33"/>
      <c r="B60" s="33"/>
      <c r="C60" s="45"/>
      <c r="D60" s="45"/>
      <c r="E60" s="33"/>
      <c r="F60" s="33"/>
      <c r="G60" s="33"/>
      <c r="H60" s="33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0"/>
      <c r="V60" s="50"/>
      <c r="W60" s="82"/>
      <c r="Y60" s="243"/>
    </row>
    <row r="61" spans="1:27" ht="15.75" customHeight="1" x14ac:dyDescent="0.3">
      <c r="A61" s="33"/>
      <c r="B61" s="33"/>
      <c r="C61" s="47" t="str">
        <f>'2025 Forecast'!C61</f>
        <v>Total Parks &amp; Grounds</v>
      </c>
      <c r="D61" s="45"/>
      <c r="E61" s="33"/>
      <c r="F61" s="33"/>
      <c r="G61" s="33"/>
      <c r="H61" s="33"/>
      <c r="I61" s="44">
        <f>SUM(I52:I60)</f>
        <v>3416.666666666667</v>
      </c>
      <c r="J61" s="44">
        <f t="shared" ref="J61:W61" si="22">SUM(J52:J60)</f>
        <v>4416.666666666667</v>
      </c>
      <c r="K61" s="44">
        <f t="shared" si="22"/>
        <v>3416.666666666667</v>
      </c>
      <c r="L61" s="44">
        <f t="shared" si="22"/>
        <v>3316.666666666667</v>
      </c>
      <c r="M61" s="44">
        <f t="shared" si="22"/>
        <v>1916.6666666666667</v>
      </c>
      <c r="N61" s="44">
        <f t="shared" si="22"/>
        <v>3016.666666666667</v>
      </c>
      <c r="O61" s="44">
        <f t="shared" si="22"/>
        <v>4666.666666666667</v>
      </c>
      <c r="P61" s="44">
        <f t="shared" si="22"/>
        <v>1916.6666666666667</v>
      </c>
      <c r="Q61" s="44">
        <f t="shared" si="22"/>
        <v>2066.666666666667</v>
      </c>
      <c r="R61" s="44">
        <f t="shared" si="22"/>
        <v>4416.666666666667</v>
      </c>
      <c r="S61" s="44">
        <f t="shared" si="22"/>
        <v>1916.6666666666667</v>
      </c>
      <c r="T61" s="44">
        <f t="shared" si="22"/>
        <v>1916.6666666666667</v>
      </c>
      <c r="U61" s="72">
        <f t="shared" si="22"/>
        <v>36400</v>
      </c>
      <c r="V61" s="44">
        <f t="shared" si="22"/>
        <v>37036.719999999994</v>
      </c>
      <c r="W61" s="84">
        <f t="shared" si="22"/>
        <v>636.71999999999753</v>
      </c>
      <c r="Y61" s="242">
        <f>V61-U61</f>
        <v>636.71999999999389</v>
      </c>
    </row>
    <row r="62" spans="1:27" ht="15.75" customHeight="1" x14ac:dyDescent="0.3">
      <c r="A62" s="33"/>
      <c r="B62" s="33"/>
      <c r="C62" s="127"/>
      <c r="D62" s="45"/>
      <c r="E62" s="33"/>
      <c r="F62" s="33"/>
      <c r="G62" s="33"/>
      <c r="H62" s="3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0"/>
      <c r="V62" s="50"/>
      <c r="W62" s="82"/>
      <c r="Y62" s="243"/>
    </row>
    <row r="63" spans="1:27" ht="15.75" customHeight="1" x14ac:dyDescent="0.3">
      <c r="A63" s="33"/>
      <c r="B63" s="33"/>
      <c r="C63" s="47" t="str">
        <f>'2025 Forecast'!C63</f>
        <v>Pool Expense</v>
      </c>
      <c r="D63" s="45"/>
      <c r="E63" s="33"/>
      <c r="F63" s="33"/>
      <c r="G63" s="33"/>
      <c r="H63" s="33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70"/>
      <c r="V63" s="50"/>
      <c r="W63" s="82"/>
      <c r="Y63" s="243"/>
    </row>
    <row r="64" spans="1:27" ht="15.75" customHeight="1" x14ac:dyDescent="0.3">
      <c r="A64" s="33"/>
      <c r="B64" s="33"/>
      <c r="C64" s="33"/>
      <c r="D64" s="45" t="str">
        <f>'2025 Forecast'!D64</f>
        <v>Chemicals</v>
      </c>
      <c r="E64" s="33"/>
      <c r="F64" s="33"/>
      <c r="G64" s="33"/>
      <c r="H64" s="33"/>
      <c r="I64" s="42">
        <v>0</v>
      </c>
      <c r="J64" s="42">
        <v>0</v>
      </c>
      <c r="K64" s="42">
        <v>0</v>
      </c>
      <c r="L64" s="42">
        <v>300</v>
      </c>
      <c r="M64" s="42">
        <v>600</v>
      </c>
      <c r="N64" s="42">
        <v>200</v>
      </c>
      <c r="O64" s="42">
        <v>600</v>
      </c>
      <c r="P64" s="42">
        <v>600</v>
      </c>
      <c r="Q64" s="42">
        <v>250</v>
      </c>
      <c r="R64" s="42">
        <v>0</v>
      </c>
      <c r="S64" s="42">
        <v>0</v>
      </c>
      <c r="T64" s="42">
        <v>250</v>
      </c>
      <c r="U64" s="70">
        <f t="shared" ref="U64:U65" si="23">SUM(I64:T64)</f>
        <v>2800</v>
      </c>
      <c r="V64" s="50">
        <f>'2025 Forecast'!O64</f>
        <v>2278.9899999999998</v>
      </c>
      <c r="W64" s="82">
        <f t="shared" ref="W64:W70" si="24">V64-U64</f>
        <v>-521.01000000000022</v>
      </c>
      <c r="Y64" s="243"/>
    </row>
    <row r="65" spans="1:26" ht="15.75" customHeight="1" x14ac:dyDescent="0.3">
      <c r="A65" s="33"/>
      <c r="B65" s="33"/>
      <c r="C65" s="33"/>
      <c r="D65" s="48" t="str">
        <f>'2025 Forecast'!D65</f>
        <v>Deck &amp; Pool Repair</v>
      </c>
      <c r="E65" s="33"/>
      <c r="F65" s="33"/>
      <c r="G65" s="33"/>
      <c r="H65" s="33"/>
      <c r="I65" s="42">
        <v>0</v>
      </c>
      <c r="J65" s="42">
        <v>0</v>
      </c>
      <c r="K65" s="42">
        <v>0</v>
      </c>
      <c r="L65" s="42">
        <v>2500</v>
      </c>
      <c r="M65" s="42">
        <v>200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70">
        <f t="shared" si="23"/>
        <v>2700</v>
      </c>
      <c r="V65" s="50">
        <f>'2025 Forecast'!O65</f>
        <v>0</v>
      </c>
      <c r="W65" s="82">
        <f t="shared" si="24"/>
        <v>-2700</v>
      </c>
      <c r="X65" s="33"/>
      <c r="Y65" s="243"/>
      <c r="Z65" s="33"/>
    </row>
    <row r="66" spans="1:26" ht="15.75" customHeight="1" x14ac:dyDescent="0.3">
      <c r="A66" s="33"/>
      <c r="B66" s="33"/>
      <c r="C66" s="33"/>
      <c r="D66" s="26"/>
      <c r="E66" s="47" t="str">
        <f>'2025 Forecast'!E66</f>
        <v>Payroll Expenses</v>
      </c>
      <c r="F66" s="33"/>
      <c r="G66" s="33"/>
      <c r="H66" s="33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70"/>
      <c r="V66" s="50"/>
      <c r="W66" s="82">
        <f t="shared" si="24"/>
        <v>0</v>
      </c>
      <c r="Y66" s="243"/>
    </row>
    <row r="67" spans="1:26" ht="15.75" customHeight="1" x14ac:dyDescent="0.3">
      <c r="A67" s="33"/>
      <c r="B67" s="33"/>
      <c r="C67" s="33"/>
      <c r="D67" s="48"/>
      <c r="E67" s="26"/>
      <c r="F67" s="356" t="str">
        <f>'2025 Forecast'!F67</f>
        <v>Contract - Attendant</v>
      </c>
      <c r="G67" s="33"/>
      <c r="H67" s="46"/>
      <c r="I67" s="50">
        <f>'Pool Attendents'!C19</f>
        <v>52</v>
      </c>
      <c r="J67" s="50">
        <f>'Pool Attendents'!D19</f>
        <v>52</v>
      </c>
      <c r="K67" s="50">
        <f>'Pool Attendents'!E19</f>
        <v>52</v>
      </c>
      <c r="L67" s="50">
        <f>'Pool Attendents'!F19</f>
        <v>52</v>
      </c>
      <c r="M67" s="50">
        <f>'Pool Attendents'!G19</f>
        <v>468</v>
      </c>
      <c r="N67" s="50">
        <f>'Pool Attendents'!H19</f>
        <v>0</v>
      </c>
      <c r="O67" s="50">
        <f>'Pool Attendents'!I19</f>
        <v>0</v>
      </c>
      <c r="P67" s="50">
        <f>'Pool Attendents'!J19</f>
        <v>0</v>
      </c>
      <c r="Q67" s="50">
        <f>'Pool Attendents'!K19</f>
        <v>0</v>
      </c>
      <c r="R67" s="50">
        <f>'Pool Attendents'!L19</f>
        <v>52</v>
      </c>
      <c r="S67" s="50">
        <f>'Pool Attendents'!M19</f>
        <v>52</v>
      </c>
      <c r="T67" s="50">
        <f>'Pool Attendents'!N19</f>
        <v>52</v>
      </c>
      <c r="U67" s="70">
        <f t="shared" ref="U67:U70" si="25">SUM(I67:T67)</f>
        <v>832</v>
      </c>
      <c r="V67" s="50">
        <f>'2025 Forecast'!O67</f>
        <v>1504</v>
      </c>
      <c r="W67" s="82">
        <f t="shared" si="24"/>
        <v>672</v>
      </c>
      <c r="Y67" s="243"/>
    </row>
    <row r="68" spans="1:26" ht="15.75" customHeight="1" x14ac:dyDescent="0.3">
      <c r="A68" s="33"/>
      <c r="B68" s="322"/>
      <c r="C68" s="33"/>
      <c r="D68" s="48"/>
      <c r="E68" s="26"/>
      <c r="F68" s="356" t="str">
        <f>'2025 Forecast'!F68</f>
        <v>Processing Service</v>
      </c>
      <c r="G68" s="33"/>
      <c r="H68" s="33"/>
      <c r="I68" s="42">
        <v>21.31</v>
      </c>
      <c r="J68" s="42">
        <v>21.31</v>
      </c>
      <c r="K68" s="42">
        <v>21.31</v>
      </c>
      <c r="L68" s="42">
        <v>21.31</v>
      </c>
      <c r="M68" s="42">
        <v>21.31</v>
      </c>
      <c r="N68" s="42">
        <v>80</v>
      </c>
      <c r="O68" s="42">
        <v>80</v>
      </c>
      <c r="P68" s="42">
        <v>80</v>
      </c>
      <c r="Q68" s="42">
        <v>21</v>
      </c>
      <c r="R68" s="42">
        <v>21.31</v>
      </c>
      <c r="S68" s="42">
        <v>21.31</v>
      </c>
      <c r="T68" s="42">
        <v>21.31</v>
      </c>
      <c r="U68" s="70">
        <f t="shared" si="25"/>
        <v>431.48</v>
      </c>
      <c r="V68" s="50">
        <f>'2025 Forecast'!O68</f>
        <v>615.19000000000005</v>
      </c>
      <c r="W68" s="82">
        <f t="shared" si="24"/>
        <v>183.71000000000004</v>
      </c>
      <c r="Y68" s="243"/>
    </row>
    <row r="69" spans="1:26" ht="15.75" customHeight="1" x14ac:dyDescent="0.3">
      <c r="A69" s="33"/>
      <c r="B69" s="322"/>
      <c r="C69" s="33"/>
      <c r="D69" s="48"/>
      <c r="E69" s="26"/>
      <c r="F69" s="356" t="str">
        <f>'2025 Forecast'!F69</f>
        <v>Taxes</v>
      </c>
      <c r="G69" s="33"/>
      <c r="H69" s="386" t="s">
        <v>237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f t="shared" ref="R69" si="26">R70*0.12</f>
        <v>0</v>
      </c>
      <c r="S69" s="42">
        <v>0</v>
      </c>
      <c r="T69" s="42">
        <v>0</v>
      </c>
      <c r="U69" s="70">
        <f t="shared" ref="U69" si="27">SUM(I69:T69)</f>
        <v>0</v>
      </c>
      <c r="V69" s="50">
        <f>'2025 Forecast'!O69</f>
        <v>0.01</v>
      </c>
      <c r="W69" s="82">
        <f t="shared" si="24"/>
        <v>0.01</v>
      </c>
      <c r="Y69" s="243"/>
    </row>
    <row r="70" spans="1:26" ht="15.75" customHeight="1" x14ac:dyDescent="0.3">
      <c r="A70" s="33"/>
      <c r="B70" s="33"/>
      <c r="C70" s="33"/>
      <c r="D70" s="48"/>
      <c r="E70" s="26"/>
      <c r="F70" s="45" t="str">
        <f>'2025 Forecast'!F70</f>
        <v>Wages for Attendant</v>
      </c>
      <c r="G70" s="33"/>
      <c r="H70" s="33"/>
      <c r="I70" s="74">
        <f>'Pool Attendents'!C17</f>
        <v>0</v>
      </c>
      <c r="J70" s="74">
        <f>'Pool Attendents'!D17</f>
        <v>0</v>
      </c>
      <c r="K70" s="74">
        <f>'Pool Attendents'!E17</f>
        <v>0</v>
      </c>
      <c r="L70" s="74">
        <f>'Pool Attendents'!F17</f>
        <v>0</v>
      </c>
      <c r="M70" s="74">
        <f>'Pool Attendents'!G17</f>
        <v>0</v>
      </c>
      <c r="N70" s="74">
        <f>'Pool Attendents'!H17</f>
        <v>2730</v>
      </c>
      <c r="O70" s="74">
        <f>'Pool Attendents'!I17</f>
        <v>2821</v>
      </c>
      <c r="P70" s="74">
        <f>'Pool Attendents'!J17</f>
        <v>2432.5655714285717</v>
      </c>
      <c r="Q70" s="74">
        <f>'Pool Attendents'!K17</f>
        <v>585</v>
      </c>
      <c r="R70" s="74">
        <f>'Pool Attendents'!L17</f>
        <v>0</v>
      </c>
      <c r="S70" s="74">
        <f>'Pool Attendents'!M17</f>
        <v>0</v>
      </c>
      <c r="T70" s="74">
        <f>'Pool Attendents'!N17</f>
        <v>0</v>
      </c>
      <c r="U70" s="207">
        <f t="shared" si="25"/>
        <v>8568.5655714285713</v>
      </c>
      <c r="V70" s="74">
        <f>'2025 Forecast'!O70</f>
        <v>7868.19</v>
      </c>
      <c r="W70" s="208">
        <f t="shared" si="24"/>
        <v>-700.37557142857167</v>
      </c>
      <c r="Y70" s="243"/>
    </row>
    <row r="71" spans="1:26" ht="15.75" customHeight="1" x14ac:dyDescent="0.3">
      <c r="A71" s="33"/>
      <c r="B71" s="33"/>
      <c r="C71" s="33"/>
      <c r="D71" s="48"/>
      <c r="E71" s="45"/>
      <c r="F71" s="33"/>
      <c r="G71" s="33"/>
      <c r="H71" s="33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70"/>
      <c r="V71" s="50"/>
      <c r="W71" s="82"/>
      <c r="Y71" s="243"/>
    </row>
    <row r="72" spans="1:26" ht="15.75" customHeight="1" x14ac:dyDescent="0.3">
      <c r="A72" s="33"/>
      <c r="B72" s="33"/>
      <c r="C72" s="33"/>
      <c r="D72" s="48"/>
      <c r="E72" s="33"/>
      <c r="F72" s="47" t="str">
        <f>'2025 Forecast'!F72</f>
        <v>Total Payroll Expenses</v>
      </c>
      <c r="G72" s="33"/>
      <c r="H72" s="33"/>
      <c r="I72" s="44">
        <f t="shared" ref="I72:W72" si="28">SUM(I67:I71)</f>
        <v>73.31</v>
      </c>
      <c r="J72" s="44">
        <f t="shared" si="28"/>
        <v>73.31</v>
      </c>
      <c r="K72" s="44">
        <f t="shared" si="28"/>
        <v>73.31</v>
      </c>
      <c r="L72" s="44">
        <f t="shared" si="28"/>
        <v>73.31</v>
      </c>
      <c r="M72" s="44">
        <f t="shared" si="28"/>
        <v>489.31</v>
      </c>
      <c r="N72" s="44">
        <f t="shared" si="28"/>
        <v>2810</v>
      </c>
      <c r="O72" s="44">
        <f t="shared" si="28"/>
        <v>2901</v>
      </c>
      <c r="P72" s="44">
        <f t="shared" si="28"/>
        <v>2512.5655714285717</v>
      </c>
      <c r="Q72" s="44">
        <f t="shared" si="28"/>
        <v>606</v>
      </c>
      <c r="R72" s="44">
        <f t="shared" si="28"/>
        <v>73.31</v>
      </c>
      <c r="S72" s="44">
        <f t="shared" si="28"/>
        <v>73.31</v>
      </c>
      <c r="T72" s="44">
        <f t="shared" si="28"/>
        <v>73.31</v>
      </c>
      <c r="U72" s="72">
        <f t="shared" si="28"/>
        <v>9832.0455714285708</v>
      </c>
      <c r="V72" s="44">
        <f t="shared" si="28"/>
        <v>9987.39</v>
      </c>
      <c r="W72" s="84">
        <f t="shared" si="28"/>
        <v>155.34442857142835</v>
      </c>
      <c r="Y72" s="242">
        <f>V72-U72</f>
        <v>155.34442857142858</v>
      </c>
    </row>
    <row r="73" spans="1:26" ht="15.75" customHeight="1" x14ac:dyDescent="0.3">
      <c r="A73" s="33"/>
      <c r="B73" s="33"/>
      <c r="C73" s="33"/>
      <c r="D73" s="26"/>
      <c r="E73" s="45" t="str">
        <f>'2025 Forecast'!E73</f>
        <v>Permits &amp; License Reqmts - incl. safety course</v>
      </c>
      <c r="F73" s="47"/>
      <c r="G73" s="33"/>
      <c r="H73" s="33" t="s">
        <v>140</v>
      </c>
      <c r="I73" s="42">
        <v>0</v>
      </c>
      <c r="J73" s="42">
        <v>0</v>
      </c>
      <c r="K73" s="42">
        <v>150</v>
      </c>
      <c r="L73" s="42">
        <v>0</v>
      </c>
      <c r="M73" s="42">
        <v>150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70">
        <f t="shared" ref="U73:U77" si="29">SUM(I73:T73)</f>
        <v>300</v>
      </c>
      <c r="V73" s="50">
        <f>'2025 Forecast'!O73</f>
        <v>350</v>
      </c>
      <c r="W73" s="82">
        <f t="shared" ref="W73:W77" si="30">V73-U73</f>
        <v>50</v>
      </c>
      <c r="Y73" s="242"/>
    </row>
    <row r="74" spans="1:26" ht="15.75" customHeight="1" x14ac:dyDescent="0.3">
      <c r="A74" s="33"/>
      <c r="B74" s="33"/>
      <c r="C74" s="33"/>
      <c r="D74" s="48"/>
      <c r="E74" s="45" t="str">
        <f>'2025 Forecast'!E74</f>
        <v>Pool Cleaning Service</v>
      </c>
      <c r="F74" s="47"/>
      <c r="G74" s="33"/>
      <c r="H74" s="33"/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70">
        <f t="shared" si="29"/>
        <v>0</v>
      </c>
      <c r="V74" s="50">
        <f>'2025 Forecast'!O74</f>
        <v>0</v>
      </c>
      <c r="W74" s="82">
        <f t="shared" si="30"/>
        <v>0</v>
      </c>
      <c r="Y74" s="243"/>
    </row>
    <row r="75" spans="1:26" ht="15.75" customHeight="1" x14ac:dyDescent="0.3">
      <c r="A75" s="33"/>
      <c r="B75" s="33"/>
      <c r="C75" s="33"/>
      <c r="D75" s="48"/>
      <c r="E75" s="45" t="str">
        <f>'2025 Forecast'!E75</f>
        <v>Pool Furniture</v>
      </c>
      <c r="F75" s="47"/>
      <c r="G75" s="33"/>
      <c r="H75" s="33"/>
      <c r="I75" s="42">
        <v>0</v>
      </c>
      <c r="J75" s="42">
        <v>0</v>
      </c>
      <c r="K75" s="42">
        <v>0</v>
      </c>
      <c r="L75" s="42">
        <v>0</v>
      </c>
      <c r="M75" s="42">
        <v>250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70">
        <f t="shared" si="29"/>
        <v>250</v>
      </c>
      <c r="V75" s="50">
        <f>'2025 Forecast'!O75</f>
        <v>0</v>
      </c>
      <c r="W75" s="82">
        <f t="shared" si="30"/>
        <v>-250</v>
      </c>
      <c r="Y75" s="243"/>
    </row>
    <row r="76" spans="1:26" ht="15.75" customHeight="1" x14ac:dyDescent="0.3">
      <c r="A76" s="33"/>
      <c r="B76" s="33"/>
      <c r="C76" s="33"/>
      <c r="D76" s="48"/>
      <c r="E76" s="45" t="str">
        <f>'2025 Forecast'!E76</f>
        <v>Mechanical Repairs</v>
      </c>
      <c r="F76" s="47"/>
      <c r="G76" s="33"/>
      <c r="H76" s="33"/>
      <c r="I76" s="42">
        <v>0</v>
      </c>
      <c r="J76" s="42">
        <v>0</v>
      </c>
      <c r="K76" s="42">
        <v>0</v>
      </c>
      <c r="L76" s="42">
        <v>2000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70">
        <f t="shared" si="29"/>
        <v>2000</v>
      </c>
      <c r="V76" s="50">
        <f>'2025 Forecast'!O76</f>
        <v>600</v>
      </c>
      <c r="W76" s="82">
        <f t="shared" si="30"/>
        <v>-1400</v>
      </c>
      <c r="Y76" s="243"/>
    </row>
    <row r="77" spans="1:26" ht="15.75" customHeight="1" x14ac:dyDescent="0.3">
      <c r="A77" s="33"/>
      <c r="B77" s="33"/>
      <c r="C77" s="33"/>
      <c r="D77" s="26"/>
      <c r="E77" s="45" t="str">
        <f>'2025 Forecast'!E77</f>
        <v>Supplies</v>
      </c>
      <c r="F77" s="33"/>
      <c r="G77" s="33"/>
      <c r="H77" s="33"/>
      <c r="I77" s="206">
        <v>0</v>
      </c>
      <c r="J77" s="206">
        <v>0</v>
      </c>
      <c r="K77" s="206">
        <v>0</v>
      </c>
      <c r="L77" s="206">
        <v>450</v>
      </c>
      <c r="M77" s="206">
        <v>150</v>
      </c>
      <c r="N77" s="206">
        <v>300</v>
      </c>
      <c r="O77" s="206">
        <v>300</v>
      </c>
      <c r="P77" s="206">
        <v>300</v>
      </c>
      <c r="Q77" s="206">
        <v>300</v>
      </c>
      <c r="R77" s="206">
        <v>0</v>
      </c>
      <c r="S77" s="206">
        <v>0</v>
      </c>
      <c r="T77" s="206">
        <v>0</v>
      </c>
      <c r="U77" s="207">
        <f t="shared" si="29"/>
        <v>1800</v>
      </c>
      <c r="V77" s="74">
        <f>'2025 Forecast'!O77</f>
        <v>2053.17</v>
      </c>
      <c r="W77" s="208">
        <f t="shared" si="30"/>
        <v>253.17000000000007</v>
      </c>
      <c r="Y77" s="243"/>
    </row>
    <row r="78" spans="1:26" ht="15.75" customHeight="1" x14ac:dyDescent="0.3">
      <c r="A78" s="33"/>
      <c r="B78" s="33"/>
      <c r="C78" s="33"/>
      <c r="D78" s="26"/>
      <c r="E78" s="33"/>
      <c r="F78" s="33"/>
      <c r="G78" s="33"/>
      <c r="H78" s="33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70"/>
      <c r="V78" s="50"/>
      <c r="W78" s="82"/>
      <c r="Y78" s="243"/>
    </row>
    <row r="79" spans="1:26" ht="15.75" customHeight="1" x14ac:dyDescent="0.3">
      <c r="A79" s="33"/>
      <c r="B79" s="33"/>
      <c r="C79" s="33"/>
      <c r="D79" s="47" t="str">
        <f>'2025 Forecast'!D79</f>
        <v>Total Pool Expense</v>
      </c>
      <c r="E79" s="33"/>
      <c r="F79" s="33"/>
      <c r="G79" s="33"/>
      <c r="H79" s="33"/>
      <c r="I79" s="44">
        <f t="shared" ref="I79:W79" si="31">SUM(I64:I65,I72:I77)</f>
        <v>73.31</v>
      </c>
      <c r="J79" s="44">
        <f t="shared" si="31"/>
        <v>73.31</v>
      </c>
      <c r="K79" s="44">
        <f t="shared" si="31"/>
        <v>223.31</v>
      </c>
      <c r="L79" s="44">
        <f t="shared" si="31"/>
        <v>5323.3099999999995</v>
      </c>
      <c r="M79" s="44">
        <f t="shared" si="31"/>
        <v>1839.31</v>
      </c>
      <c r="N79" s="44">
        <f t="shared" si="31"/>
        <v>3310</v>
      </c>
      <c r="O79" s="44">
        <f t="shared" si="31"/>
        <v>3801</v>
      </c>
      <c r="P79" s="44">
        <f t="shared" si="31"/>
        <v>3412.5655714285717</v>
      </c>
      <c r="Q79" s="44">
        <f t="shared" si="31"/>
        <v>1156</v>
      </c>
      <c r="R79" s="44">
        <f t="shared" si="31"/>
        <v>73.31</v>
      </c>
      <c r="S79" s="44">
        <f t="shared" si="31"/>
        <v>73.31</v>
      </c>
      <c r="T79" s="44">
        <f t="shared" si="31"/>
        <v>323.31</v>
      </c>
      <c r="U79" s="72">
        <f t="shared" si="31"/>
        <v>19682.045571428571</v>
      </c>
      <c r="V79" s="44">
        <f t="shared" si="31"/>
        <v>15269.55</v>
      </c>
      <c r="W79" s="84">
        <f t="shared" si="31"/>
        <v>-4412.4955714285716</v>
      </c>
      <c r="X79" s="33"/>
      <c r="Y79" s="242">
        <f>V79-U79</f>
        <v>-4412.4955714285716</v>
      </c>
    </row>
    <row r="80" spans="1:26" ht="15.75" customHeight="1" x14ac:dyDescent="0.3">
      <c r="A80" s="33"/>
      <c r="B80" s="33"/>
      <c r="C80" s="33"/>
      <c r="D80" s="26"/>
      <c r="E80" s="33"/>
      <c r="F80" s="33"/>
      <c r="G80" s="33"/>
      <c r="H80" s="33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70"/>
      <c r="V80" s="50"/>
      <c r="W80" s="82"/>
      <c r="X80" s="33"/>
      <c r="Y80" s="243"/>
    </row>
    <row r="81" spans="1:25" ht="15.75" customHeight="1" x14ac:dyDescent="0.3">
      <c r="A81" s="33"/>
      <c r="B81" s="33"/>
      <c r="C81" s="33"/>
      <c r="D81" s="47" t="str">
        <f>'2025 Forecast'!D81</f>
        <v>Property Management Expenses</v>
      </c>
      <c r="E81" s="33"/>
      <c r="F81" s="33"/>
      <c r="G81" s="33"/>
      <c r="H81" s="164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70"/>
      <c r="V81" s="50"/>
      <c r="W81" s="82"/>
      <c r="X81" s="33"/>
      <c r="Y81" s="243"/>
    </row>
    <row r="82" spans="1:25" ht="15.75" customHeight="1" x14ac:dyDescent="0.3">
      <c r="A82" s="33"/>
      <c r="B82" s="33"/>
      <c r="C82" s="33"/>
      <c r="D82" s="45"/>
      <c r="E82" s="45" t="str">
        <f>'2025 Forecast'!E82</f>
        <v>Monthly Service Management Fee</v>
      </c>
      <c r="F82" s="33"/>
      <c r="G82" s="33"/>
      <c r="H82" s="164"/>
      <c r="I82" s="42">
        <v>1014</v>
      </c>
      <c r="J82" s="50">
        <f>I82</f>
        <v>1014</v>
      </c>
      <c r="K82" s="50">
        <f t="shared" ref="K82:T82" si="32">J82</f>
        <v>1014</v>
      </c>
      <c r="L82" s="50">
        <f t="shared" si="32"/>
        <v>1014</v>
      </c>
      <c r="M82" s="50">
        <f t="shared" si="32"/>
        <v>1014</v>
      </c>
      <c r="N82" s="50">
        <f t="shared" si="32"/>
        <v>1014</v>
      </c>
      <c r="O82" s="50">
        <f t="shared" si="32"/>
        <v>1014</v>
      </c>
      <c r="P82" s="50">
        <f t="shared" si="32"/>
        <v>1014</v>
      </c>
      <c r="Q82" s="50">
        <f t="shared" si="32"/>
        <v>1014</v>
      </c>
      <c r="R82" s="50">
        <f t="shared" si="32"/>
        <v>1014</v>
      </c>
      <c r="S82" s="50">
        <f t="shared" si="32"/>
        <v>1014</v>
      </c>
      <c r="T82" s="50">
        <f t="shared" si="32"/>
        <v>1014</v>
      </c>
      <c r="U82" s="70">
        <f t="shared" ref="U82:U86" si="33">SUM(I82:T82)</f>
        <v>12168</v>
      </c>
      <c r="V82" s="50">
        <f>'2025 Forecast'!O82</f>
        <v>10904</v>
      </c>
      <c r="W82" s="82">
        <f t="shared" ref="W82:W86" si="34">V82-U82</f>
        <v>-1264</v>
      </c>
      <c r="Y82" s="243"/>
    </row>
    <row r="83" spans="1:25" ht="15.75" customHeight="1" x14ac:dyDescent="0.3">
      <c r="A83" s="33"/>
      <c r="B83" s="33"/>
      <c r="C83" s="33"/>
      <c r="D83" s="45"/>
      <c r="E83" s="45" t="str">
        <f>'2025 Forecast'!E83</f>
        <v>Property Management Expenses</v>
      </c>
      <c r="F83" s="33"/>
      <c r="G83" s="33"/>
      <c r="H83" s="164"/>
      <c r="I83" s="42">
        <v>0</v>
      </c>
      <c r="J83" s="42">
        <v>0</v>
      </c>
      <c r="K83" s="42">
        <v>0</v>
      </c>
      <c r="L83" s="42">
        <v>50</v>
      </c>
      <c r="M83" s="42">
        <v>0</v>
      </c>
      <c r="N83" s="42">
        <v>0</v>
      </c>
      <c r="O83" s="42">
        <v>25</v>
      </c>
      <c r="P83" s="42">
        <v>0</v>
      </c>
      <c r="Q83" s="42">
        <v>0</v>
      </c>
      <c r="R83" s="42">
        <v>0</v>
      </c>
      <c r="S83" s="42">
        <v>25</v>
      </c>
      <c r="T83" s="42">
        <v>0</v>
      </c>
      <c r="U83" s="70">
        <f t="shared" ref="U83" si="35">SUM(I83:T83)</f>
        <v>100</v>
      </c>
      <c r="V83" s="50">
        <f>'2025 Forecast'!O83</f>
        <v>113.32</v>
      </c>
      <c r="W83" s="82">
        <f t="shared" si="34"/>
        <v>13.319999999999993</v>
      </c>
      <c r="Y83" s="243"/>
    </row>
    <row r="84" spans="1:25" ht="15.75" customHeight="1" x14ac:dyDescent="0.3">
      <c r="A84" s="33"/>
      <c r="B84" s="33"/>
      <c r="C84" s="33"/>
      <c r="D84" s="45"/>
      <c r="E84" s="45" t="str">
        <f>'2025 Forecast'!E84</f>
        <v>Payroll Preparation</v>
      </c>
      <c r="F84" s="33"/>
      <c r="G84" s="33"/>
      <c r="H84" s="163"/>
      <c r="I84" s="50">
        <f t="shared" ref="I84:L84" si="36">IF(I70&gt;0, 110, 0)</f>
        <v>0</v>
      </c>
      <c r="J84" s="50">
        <f t="shared" si="36"/>
        <v>0</v>
      </c>
      <c r="K84" s="50">
        <f t="shared" si="36"/>
        <v>0</v>
      </c>
      <c r="L84" s="50">
        <f t="shared" si="36"/>
        <v>0</v>
      </c>
      <c r="M84" s="50">
        <f>IF(M70&gt;0, 110, 0)</f>
        <v>0</v>
      </c>
      <c r="N84" s="50">
        <f t="shared" ref="N84:T84" si="37">IF(N70&gt;0, 110, 0)</f>
        <v>110</v>
      </c>
      <c r="O84" s="50">
        <f t="shared" si="37"/>
        <v>110</v>
      </c>
      <c r="P84" s="50">
        <f t="shared" si="37"/>
        <v>110</v>
      </c>
      <c r="Q84" s="50">
        <f t="shared" si="37"/>
        <v>110</v>
      </c>
      <c r="R84" s="50">
        <f t="shared" si="37"/>
        <v>0</v>
      </c>
      <c r="S84" s="50">
        <f t="shared" si="37"/>
        <v>0</v>
      </c>
      <c r="T84" s="50">
        <f t="shared" si="37"/>
        <v>0</v>
      </c>
      <c r="U84" s="70">
        <f t="shared" si="33"/>
        <v>440</v>
      </c>
      <c r="V84" s="50">
        <f>'2025 Forecast'!O84</f>
        <v>460</v>
      </c>
      <c r="W84" s="82">
        <f t="shared" si="34"/>
        <v>20</v>
      </c>
      <c r="Y84" s="243"/>
    </row>
    <row r="85" spans="1:25" ht="15.75" customHeight="1" x14ac:dyDescent="0.3">
      <c r="A85" s="33"/>
      <c r="B85" s="33"/>
      <c r="C85" s="33"/>
      <c r="D85" s="45"/>
      <c r="E85" s="45" t="str">
        <f>'2025 Forecast'!E85</f>
        <v>Project Management Fee</v>
      </c>
      <c r="F85" s="33"/>
      <c r="G85" s="33"/>
      <c r="H85" s="249">
        <v>0.1</v>
      </c>
      <c r="I85" s="50">
        <f>$H$85*(I76+I147)</f>
        <v>0</v>
      </c>
      <c r="J85" s="355">
        <f>$H$85*(J76+J147)*0</f>
        <v>0</v>
      </c>
      <c r="K85" s="50">
        <f t="shared" ref="K85:S85" si="38">$H$85*(K76+K147)</f>
        <v>230</v>
      </c>
      <c r="L85" s="50">
        <f t="shared" si="38"/>
        <v>595</v>
      </c>
      <c r="M85" s="50">
        <f t="shared" si="38"/>
        <v>0</v>
      </c>
      <c r="N85" s="50">
        <f t="shared" si="38"/>
        <v>0</v>
      </c>
      <c r="O85" s="50">
        <f t="shared" si="38"/>
        <v>0</v>
      </c>
      <c r="P85" s="50">
        <f t="shared" si="38"/>
        <v>0</v>
      </c>
      <c r="Q85" s="50">
        <f t="shared" si="38"/>
        <v>0</v>
      </c>
      <c r="R85" s="50">
        <f t="shared" si="38"/>
        <v>0</v>
      </c>
      <c r="S85" s="50">
        <f t="shared" si="38"/>
        <v>150</v>
      </c>
      <c r="T85" s="355">
        <f>$H$85*(T76)</f>
        <v>0</v>
      </c>
      <c r="U85" s="70">
        <f t="shared" si="33"/>
        <v>975</v>
      </c>
      <c r="V85" s="50">
        <f>'2025 Forecast'!O85</f>
        <v>389.97</v>
      </c>
      <c r="W85" s="82">
        <f t="shared" si="34"/>
        <v>-585.03</v>
      </c>
      <c r="Y85" s="243"/>
    </row>
    <row r="86" spans="1:25" ht="15.75" customHeight="1" x14ac:dyDescent="0.3">
      <c r="A86" s="33"/>
      <c r="B86" s="33"/>
      <c r="C86" s="33"/>
      <c r="D86" s="45"/>
      <c r="E86" s="45" t="str">
        <f>'2025 Forecast'!E86</f>
        <v>Resale Certificate Fee</v>
      </c>
      <c r="F86" s="33"/>
      <c r="G86" s="33"/>
      <c r="H86" s="322"/>
      <c r="I86" s="50">
        <f t="shared" ref="I86:T86" si="39">IF(I19=0,0,150)</f>
        <v>0</v>
      </c>
      <c r="J86" s="50">
        <f t="shared" si="39"/>
        <v>0</v>
      </c>
      <c r="K86" s="50">
        <f t="shared" si="39"/>
        <v>150</v>
      </c>
      <c r="L86" s="50">
        <f t="shared" si="39"/>
        <v>0</v>
      </c>
      <c r="M86" s="50">
        <f t="shared" si="39"/>
        <v>150</v>
      </c>
      <c r="N86" s="50">
        <f t="shared" si="39"/>
        <v>150</v>
      </c>
      <c r="O86" s="50">
        <f t="shared" si="39"/>
        <v>0</v>
      </c>
      <c r="P86" s="50">
        <f t="shared" si="39"/>
        <v>150</v>
      </c>
      <c r="Q86" s="50">
        <f t="shared" si="39"/>
        <v>150</v>
      </c>
      <c r="R86" s="50">
        <f t="shared" si="39"/>
        <v>0</v>
      </c>
      <c r="S86" s="50">
        <f t="shared" si="39"/>
        <v>0</v>
      </c>
      <c r="T86" s="50">
        <f t="shared" si="39"/>
        <v>0</v>
      </c>
      <c r="U86" s="70">
        <f t="shared" si="33"/>
        <v>750</v>
      </c>
      <c r="V86" s="50">
        <f>'2025 Forecast'!O86</f>
        <v>632.5</v>
      </c>
      <c r="W86" s="82">
        <f t="shared" si="34"/>
        <v>-117.5</v>
      </c>
      <c r="Y86" s="243"/>
    </row>
    <row r="87" spans="1:25" ht="15.75" customHeight="1" x14ac:dyDescent="0.3">
      <c r="A87" s="33"/>
      <c r="B87" s="33"/>
      <c r="C87" s="33"/>
      <c r="D87" s="45"/>
      <c r="E87" s="45"/>
      <c r="F87" s="33"/>
      <c r="G87" s="33"/>
      <c r="H87" s="3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71"/>
      <c r="V87" s="80"/>
      <c r="W87" s="83"/>
      <c r="Y87" s="243"/>
    </row>
    <row r="88" spans="1:25" ht="15.75" customHeight="1" x14ac:dyDescent="0.3">
      <c r="A88" s="33"/>
      <c r="B88" s="33"/>
      <c r="C88" s="33"/>
      <c r="D88" s="47" t="str">
        <f>'2025 Forecast'!D88</f>
        <v>Total - Property Management Expenses</v>
      </c>
      <c r="E88" s="33"/>
      <c r="F88" s="33"/>
      <c r="G88" s="33"/>
      <c r="H88" s="33"/>
      <c r="I88" s="44">
        <f>SUM(I82:I87)</f>
        <v>1014</v>
      </c>
      <c r="J88" s="44">
        <f t="shared" ref="J88:W88" si="40">SUM(J82:J87)</f>
        <v>1014</v>
      </c>
      <c r="K88" s="44">
        <f t="shared" si="40"/>
        <v>1394</v>
      </c>
      <c r="L88" s="44">
        <f t="shared" si="40"/>
        <v>1659</v>
      </c>
      <c r="M88" s="44">
        <f t="shared" si="40"/>
        <v>1164</v>
      </c>
      <c r="N88" s="44">
        <f t="shared" si="40"/>
        <v>1274</v>
      </c>
      <c r="O88" s="44">
        <f t="shared" si="40"/>
        <v>1149</v>
      </c>
      <c r="P88" s="44">
        <f t="shared" si="40"/>
        <v>1274</v>
      </c>
      <c r="Q88" s="44">
        <f t="shared" si="40"/>
        <v>1274</v>
      </c>
      <c r="R88" s="44">
        <f t="shared" si="40"/>
        <v>1014</v>
      </c>
      <c r="S88" s="44">
        <f t="shared" si="40"/>
        <v>1189</v>
      </c>
      <c r="T88" s="44">
        <f t="shared" si="40"/>
        <v>1014</v>
      </c>
      <c r="U88" s="72">
        <f t="shared" si="40"/>
        <v>14433</v>
      </c>
      <c r="V88" s="44">
        <f t="shared" si="40"/>
        <v>12499.789999999999</v>
      </c>
      <c r="W88" s="84">
        <f t="shared" si="40"/>
        <v>-1933.21</v>
      </c>
      <c r="Y88" s="242">
        <f>V88-U88</f>
        <v>-1933.2100000000009</v>
      </c>
    </row>
    <row r="89" spans="1:25" ht="15.75" customHeight="1" x14ac:dyDescent="0.3">
      <c r="A89" s="33"/>
      <c r="B89" s="33"/>
      <c r="C89" s="33"/>
      <c r="D89" s="45"/>
      <c r="E89" s="33"/>
      <c r="F89" s="33"/>
      <c r="G89" s="33"/>
      <c r="H89" s="33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70"/>
      <c r="V89" s="50"/>
      <c r="W89" s="82"/>
      <c r="Y89" s="243"/>
    </row>
    <row r="90" spans="1:25" ht="15.75" customHeight="1" x14ac:dyDescent="0.3">
      <c r="A90" s="33"/>
      <c r="B90" s="33"/>
      <c r="C90" s="33"/>
      <c r="D90" s="47" t="str">
        <f>'2025 Forecast'!D90</f>
        <v>Utilities</v>
      </c>
      <c r="E90" s="45"/>
      <c r="F90" s="33"/>
      <c r="G90" s="33"/>
      <c r="H90" s="33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70"/>
      <c r="V90" s="50"/>
      <c r="W90" s="82"/>
      <c r="Y90" s="243"/>
    </row>
    <row r="91" spans="1:25" ht="15.75" customHeight="1" x14ac:dyDescent="0.3">
      <c r="A91" s="33"/>
      <c r="B91" s="33"/>
      <c r="C91" s="33"/>
      <c r="D91" s="47"/>
      <c r="E91" s="33" t="str">
        <f>'2025 Forecast'!E91</f>
        <v>Telephone</v>
      </c>
      <c r="F91" s="33"/>
      <c r="G91" s="33"/>
      <c r="H91" s="33"/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70">
        <f t="shared" ref="U91:U95" si="41">SUM(I91:T91)</f>
        <v>0</v>
      </c>
      <c r="V91" s="50">
        <f>'2025 Forecast'!O91</f>
        <v>0</v>
      </c>
      <c r="W91" s="82">
        <f t="shared" ref="W91:W95" si="42">V91-U91</f>
        <v>0</v>
      </c>
      <c r="Y91" s="243"/>
    </row>
    <row r="92" spans="1:25" ht="15.75" customHeight="1" x14ac:dyDescent="0.3">
      <c r="A92" s="33"/>
      <c r="B92" s="33"/>
      <c r="C92" s="33"/>
      <c r="D92" s="47"/>
      <c r="E92" s="33" t="str">
        <f>'2025 Forecast'!E92</f>
        <v>AT&amp;T internet</v>
      </c>
      <c r="F92" s="33"/>
      <c r="G92" s="33"/>
      <c r="H92" s="33"/>
      <c r="I92" s="42">
        <v>91</v>
      </c>
      <c r="J92" s="50">
        <f>I92</f>
        <v>91</v>
      </c>
      <c r="K92" s="50">
        <f t="shared" ref="K92:T92" si="43">J92</f>
        <v>91</v>
      </c>
      <c r="L92" s="50">
        <f t="shared" si="43"/>
        <v>91</v>
      </c>
      <c r="M92" s="50">
        <f t="shared" si="43"/>
        <v>91</v>
      </c>
      <c r="N92" s="50">
        <f t="shared" si="43"/>
        <v>91</v>
      </c>
      <c r="O92" s="50">
        <f t="shared" si="43"/>
        <v>91</v>
      </c>
      <c r="P92" s="50">
        <f t="shared" si="43"/>
        <v>91</v>
      </c>
      <c r="Q92" s="50">
        <f t="shared" si="43"/>
        <v>91</v>
      </c>
      <c r="R92" s="50">
        <f t="shared" si="43"/>
        <v>91</v>
      </c>
      <c r="S92" s="50">
        <f t="shared" si="43"/>
        <v>91</v>
      </c>
      <c r="T92" s="50">
        <f t="shared" si="43"/>
        <v>91</v>
      </c>
      <c r="U92" s="70">
        <f t="shared" si="41"/>
        <v>1092</v>
      </c>
      <c r="V92" s="50">
        <f>'2025 Forecast'!O92</f>
        <v>1001.15</v>
      </c>
      <c r="W92" s="82">
        <f t="shared" si="42"/>
        <v>-90.850000000000023</v>
      </c>
      <c r="Y92" s="243"/>
    </row>
    <row r="93" spans="1:25" ht="15.75" customHeight="1" x14ac:dyDescent="0.3">
      <c r="A93" s="33"/>
      <c r="B93" s="33"/>
      <c r="C93" s="33"/>
      <c r="D93" s="47"/>
      <c r="E93" s="33" t="str">
        <f>'2025 Forecast'!E93</f>
        <v>Arapaho W&amp;S</v>
      </c>
      <c r="F93" s="33"/>
      <c r="G93" s="33"/>
      <c r="H93" s="33"/>
      <c r="I93" s="42">
        <f>6*8.8</f>
        <v>52.800000000000004</v>
      </c>
      <c r="J93" s="50">
        <f>I93</f>
        <v>52.800000000000004</v>
      </c>
      <c r="K93" s="50">
        <f t="shared" ref="K93:T95" si="44">J93</f>
        <v>52.800000000000004</v>
      </c>
      <c r="L93" s="50">
        <f t="shared" si="44"/>
        <v>52.800000000000004</v>
      </c>
      <c r="M93" s="50">
        <f t="shared" si="44"/>
        <v>52.800000000000004</v>
      </c>
      <c r="N93" s="50">
        <f t="shared" si="44"/>
        <v>52.800000000000004</v>
      </c>
      <c r="O93" s="50">
        <f t="shared" si="44"/>
        <v>52.800000000000004</v>
      </c>
      <c r="P93" s="50">
        <f t="shared" si="44"/>
        <v>52.800000000000004</v>
      </c>
      <c r="Q93" s="50">
        <f t="shared" si="44"/>
        <v>52.800000000000004</v>
      </c>
      <c r="R93" s="50">
        <f t="shared" si="44"/>
        <v>52.800000000000004</v>
      </c>
      <c r="S93" s="50">
        <f t="shared" si="44"/>
        <v>52.800000000000004</v>
      </c>
      <c r="T93" s="50">
        <f t="shared" si="44"/>
        <v>52.800000000000004</v>
      </c>
      <c r="U93" s="70">
        <f t="shared" si="41"/>
        <v>633.59999999999991</v>
      </c>
      <c r="V93" s="50">
        <f>'2025 Forecast'!O93</f>
        <v>738.56999999999994</v>
      </c>
      <c r="W93" s="82">
        <f t="shared" si="42"/>
        <v>104.97000000000003</v>
      </c>
      <c r="Y93" s="243"/>
    </row>
    <row r="94" spans="1:25" ht="15.75" customHeight="1" x14ac:dyDescent="0.3">
      <c r="A94" s="33"/>
      <c r="B94" s="33"/>
      <c r="C94" s="33"/>
      <c r="D94" s="33"/>
      <c r="E94" s="45" t="str">
        <f>'2025 Forecast'!E94</f>
        <v>Electric</v>
      </c>
      <c r="F94" s="33"/>
      <c r="G94" s="33"/>
      <c r="H94" s="33"/>
      <c r="I94" s="42">
        <v>390</v>
      </c>
      <c r="J94" s="50">
        <f>I94</f>
        <v>390</v>
      </c>
      <c r="K94" s="50">
        <f t="shared" si="44"/>
        <v>390</v>
      </c>
      <c r="L94" s="50">
        <f t="shared" si="44"/>
        <v>390</v>
      </c>
      <c r="M94" s="50">
        <f t="shared" si="44"/>
        <v>390</v>
      </c>
      <c r="N94" s="50">
        <f t="shared" si="44"/>
        <v>390</v>
      </c>
      <c r="O94" s="50">
        <f t="shared" si="44"/>
        <v>390</v>
      </c>
      <c r="P94" s="50">
        <f t="shared" si="44"/>
        <v>390</v>
      </c>
      <c r="Q94" s="50">
        <f t="shared" si="44"/>
        <v>390</v>
      </c>
      <c r="R94" s="50">
        <f t="shared" si="44"/>
        <v>390</v>
      </c>
      <c r="S94" s="50">
        <f t="shared" si="44"/>
        <v>390</v>
      </c>
      <c r="T94" s="50">
        <f t="shared" si="44"/>
        <v>390</v>
      </c>
      <c r="U94" s="70">
        <f t="shared" si="41"/>
        <v>4680</v>
      </c>
      <c r="V94" s="50">
        <f>'2025 Forecast'!O94</f>
        <v>4499.07</v>
      </c>
      <c r="W94" s="82">
        <f t="shared" si="42"/>
        <v>-180.93000000000029</v>
      </c>
      <c r="Y94" s="243"/>
    </row>
    <row r="95" spans="1:25" ht="15.75" customHeight="1" x14ac:dyDescent="0.3">
      <c r="A95" s="33"/>
      <c r="B95" s="33"/>
      <c r="C95" s="33"/>
      <c r="D95" s="33"/>
      <c r="E95" s="45" t="str">
        <f>'2025 Forecast'!E95</f>
        <v>Water &amp; Sewage - park</v>
      </c>
      <c r="F95" s="33"/>
      <c r="G95" s="33"/>
      <c r="H95" s="33"/>
      <c r="I95" s="206">
        <v>650</v>
      </c>
      <c r="J95" s="74">
        <f>I95</f>
        <v>650</v>
      </c>
      <c r="K95" s="74">
        <f t="shared" si="44"/>
        <v>650</v>
      </c>
      <c r="L95" s="206">
        <v>850</v>
      </c>
      <c r="M95" s="206">
        <v>850</v>
      </c>
      <c r="N95" s="206">
        <v>1250</v>
      </c>
      <c r="O95" s="206">
        <v>1500</v>
      </c>
      <c r="P95" s="206">
        <v>1900</v>
      </c>
      <c r="Q95" s="206">
        <v>1250</v>
      </c>
      <c r="R95" s="206">
        <v>1250</v>
      </c>
      <c r="S95" s="206">
        <f>T95</f>
        <v>850</v>
      </c>
      <c r="T95" s="74">
        <f>L95</f>
        <v>850</v>
      </c>
      <c r="U95" s="207">
        <f t="shared" si="41"/>
        <v>12500</v>
      </c>
      <c r="V95" s="74">
        <f>'2025 Forecast'!O95</f>
        <v>12502.26</v>
      </c>
      <c r="W95" s="208">
        <f t="shared" si="42"/>
        <v>2.2600000000002183</v>
      </c>
      <c r="X95" s="33"/>
      <c r="Y95" s="243"/>
    </row>
    <row r="96" spans="1:25" ht="10.5" customHeight="1" x14ac:dyDescent="0.3">
      <c r="A96" s="33"/>
      <c r="B96" s="33"/>
      <c r="C96" s="33"/>
      <c r="D96" s="33"/>
      <c r="E96" s="45"/>
      <c r="F96" s="33"/>
      <c r="G96" s="33"/>
      <c r="H96" s="33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70"/>
      <c r="V96" s="50"/>
      <c r="W96" s="82"/>
      <c r="Y96" s="243"/>
    </row>
    <row r="97" spans="1:28" ht="15.75" customHeight="1" x14ac:dyDescent="0.3">
      <c r="A97" s="33"/>
      <c r="B97" s="33"/>
      <c r="C97" s="33"/>
      <c r="D97" s="47" t="str">
        <f>'2025 Forecast'!D97</f>
        <v>Total Utilities</v>
      </c>
      <c r="E97" s="45"/>
      <c r="F97" s="33"/>
      <c r="G97" s="33"/>
      <c r="H97" s="33"/>
      <c r="I97" s="44">
        <f>SUM(I90:I96)</f>
        <v>1183.8</v>
      </c>
      <c r="J97" s="44">
        <f t="shared" ref="J97:W97" si="45">SUM(J90:J96)</f>
        <v>1183.8</v>
      </c>
      <c r="K97" s="44">
        <f t="shared" si="45"/>
        <v>1183.8</v>
      </c>
      <c r="L97" s="44">
        <f t="shared" si="45"/>
        <v>1383.8</v>
      </c>
      <c r="M97" s="44">
        <f t="shared" si="45"/>
        <v>1383.8</v>
      </c>
      <c r="N97" s="44">
        <f t="shared" si="45"/>
        <v>1783.8</v>
      </c>
      <c r="O97" s="44">
        <f t="shared" si="45"/>
        <v>2033.8</v>
      </c>
      <c r="P97" s="44">
        <f t="shared" si="45"/>
        <v>2433.8000000000002</v>
      </c>
      <c r="Q97" s="44">
        <f t="shared" si="45"/>
        <v>1783.8</v>
      </c>
      <c r="R97" s="44">
        <f t="shared" si="45"/>
        <v>1783.8</v>
      </c>
      <c r="S97" s="44">
        <f t="shared" si="45"/>
        <v>1383.8</v>
      </c>
      <c r="T97" s="44">
        <f t="shared" si="45"/>
        <v>1383.8</v>
      </c>
      <c r="U97" s="72">
        <f t="shared" si="45"/>
        <v>18905.599999999999</v>
      </c>
      <c r="V97" s="44">
        <f t="shared" si="45"/>
        <v>18741.05</v>
      </c>
      <c r="W97" s="84">
        <f t="shared" si="45"/>
        <v>-164.55000000000007</v>
      </c>
      <c r="Y97" s="242">
        <f>V97-U97</f>
        <v>-164.54999999999927</v>
      </c>
    </row>
    <row r="98" spans="1:28" ht="15.75" customHeight="1" x14ac:dyDescent="0.3">
      <c r="A98" s="33"/>
      <c r="B98" s="33"/>
      <c r="C98" s="33"/>
      <c r="D98" s="45"/>
      <c r="E98" s="33"/>
      <c r="F98" s="33"/>
      <c r="G98" s="33"/>
      <c r="H98" s="33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70"/>
      <c r="V98" s="50"/>
      <c r="W98" s="82"/>
      <c r="Y98" s="243"/>
    </row>
    <row r="99" spans="1:28" ht="15.75" customHeight="1" x14ac:dyDescent="0.3">
      <c r="A99" s="33"/>
      <c r="B99" s="33"/>
      <c r="C99" s="47" t="str">
        <f>'2025 Forecast'!C99</f>
        <v>Total Expense</v>
      </c>
      <c r="D99" s="33"/>
      <c r="E99" s="45"/>
      <c r="F99" s="33"/>
      <c r="G99" s="33"/>
      <c r="H99" s="33"/>
      <c r="I99" s="44">
        <f>I38+I49+I61+I79+I88+I97</f>
        <v>7036.1450692860944</v>
      </c>
      <c r="J99" s="44">
        <f t="shared" ref="J99:V99" si="46">J38+J49+J61+J79+J88+J97</f>
        <v>7838.0968038854899</v>
      </c>
      <c r="K99" s="44">
        <f t="shared" si="46"/>
        <v>8458.0393174998953</v>
      </c>
      <c r="L99" s="44">
        <f t="shared" si="46"/>
        <v>21457.647634966914</v>
      </c>
      <c r="M99" s="44">
        <f t="shared" si="46"/>
        <v>10475.589488127223</v>
      </c>
      <c r="N99" s="44">
        <f t="shared" si="46"/>
        <v>12941.338505298831</v>
      </c>
      <c r="O99" s="44">
        <f t="shared" si="46"/>
        <v>13803.534762643634</v>
      </c>
      <c r="P99" s="44">
        <f t="shared" si="46"/>
        <v>11980.636755343228</v>
      </c>
      <c r="Q99" s="44">
        <f t="shared" si="46"/>
        <v>10584.819284660898</v>
      </c>
      <c r="R99" s="44">
        <f t="shared" si="46"/>
        <v>10502.185586011601</v>
      </c>
      <c r="S99" s="44">
        <f t="shared" si="46"/>
        <v>5973.402604390064</v>
      </c>
      <c r="T99" s="44">
        <f t="shared" si="46"/>
        <v>6492.6831718744224</v>
      </c>
      <c r="U99" s="72">
        <f t="shared" si="46"/>
        <v>127544.1189839883</v>
      </c>
      <c r="V99" s="44">
        <f t="shared" si="46"/>
        <v>134052.44111660318</v>
      </c>
      <c r="W99" s="84">
        <f>W38+W49+W61+W79+W88+W97</f>
        <v>6508.3221326148978</v>
      </c>
      <c r="Y99" s="242">
        <f>V99-U99</f>
        <v>6508.3221326148778</v>
      </c>
    </row>
    <row r="100" spans="1:28" ht="15.75" customHeight="1" x14ac:dyDescent="0.3">
      <c r="A100" s="33"/>
      <c r="B100" s="33"/>
      <c r="C100" s="33"/>
      <c r="D100" s="45"/>
      <c r="E100" s="45"/>
      <c r="F100" s="33"/>
      <c r="G100" s="33"/>
      <c r="H100" s="3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70"/>
      <c r="V100" s="50"/>
      <c r="W100" s="82"/>
      <c r="Y100" s="244"/>
    </row>
    <row r="101" spans="1:28" ht="15.75" customHeight="1" x14ac:dyDescent="0.3">
      <c r="A101" s="33"/>
      <c r="B101" s="47" t="s">
        <v>107</v>
      </c>
      <c r="C101" s="33"/>
      <c r="D101" s="45"/>
      <c r="E101" s="45"/>
      <c r="F101" s="33"/>
      <c r="G101" s="33"/>
      <c r="H101" s="33"/>
      <c r="I101" s="138">
        <f t="shared" ref="I101:V101" si="47">I22-I99</f>
        <v>8182.0174133250694</v>
      </c>
      <c r="J101" s="138">
        <f t="shared" si="47"/>
        <v>5171.1964836810876</v>
      </c>
      <c r="K101" s="138">
        <f t="shared" si="47"/>
        <v>4900.3489348002186</v>
      </c>
      <c r="L101" s="138">
        <f t="shared" si="47"/>
        <v>-8111.9873594673536</v>
      </c>
      <c r="M101" s="138">
        <f t="shared" si="47"/>
        <v>1977.3012401942087</v>
      </c>
      <c r="N101" s="138">
        <f t="shared" si="47"/>
        <v>-487.64896805113131</v>
      </c>
      <c r="O101" s="138">
        <f t="shared" si="47"/>
        <v>-1701.4436446210402</v>
      </c>
      <c r="P101" s="138">
        <f t="shared" si="47"/>
        <v>468.67893164901034</v>
      </c>
      <c r="Q101" s="138">
        <f t="shared" si="47"/>
        <v>1863.8096083319397</v>
      </c>
      <c r="R101" s="138">
        <f t="shared" si="47"/>
        <v>1597.0913624666864</v>
      </c>
      <c r="S101" s="138">
        <f t="shared" si="47"/>
        <v>6126.2597930273068</v>
      </c>
      <c r="T101" s="138">
        <f t="shared" si="47"/>
        <v>5833.2795470826741</v>
      </c>
      <c r="U101" s="139">
        <f t="shared" si="47"/>
        <v>25818.903342418635</v>
      </c>
      <c r="V101" s="138">
        <f t="shared" si="47"/>
        <v>15665.130550119793</v>
      </c>
      <c r="W101" s="212">
        <f>W99+W22</f>
        <v>10153.772792298852</v>
      </c>
      <c r="Y101" s="242">
        <f>U101-V101</f>
        <v>10153.772792298842</v>
      </c>
    </row>
    <row r="102" spans="1:28" ht="15.75" customHeight="1" x14ac:dyDescent="0.3">
      <c r="A102" s="33"/>
      <c r="B102" s="33"/>
      <c r="C102" s="33"/>
      <c r="D102" s="45"/>
      <c r="E102" s="45"/>
      <c r="F102" s="33"/>
      <c r="G102" s="33"/>
      <c r="H102" s="33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70"/>
      <c r="V102" s="50"/>
      <c r="W102" s="82"/>
      <c r="Y102" s="194"/>
    </row>
    <row r="103" spans="1:28" ht="15.75" customHeight="1" x14ac:dyDescent="0.3">
      <c r="A103" s="33"/>
      <c r="B103" s="33"/>
      <c r="C103" s="47" t="str">
        <f>'2025 Forecast'!C103</f>
        <v>Other (Income) / Expenses</v>
      </c>
      <c r="D103" s="45"/>
      <c r="E103" s="45"/>
      <c r="F103" s="33"/>
      <c r="G103" s="33"/>
      <c r="H103" s="33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70"/>
      <c r="V103" s="50"/>
      <c r="W103" s="82"/>
      <c r="Y103" s="243"/>
    </row>
    <row r="104" spans="1:28" ht="15.75" customHeight="1" x14ac:dyDescent="0.3">
      <c r="A104" s="33"/>
      <c r="B104" s="33"/>
      <c r="C104" s="33"/>
      <c r="D104" s="47" t="str">
        <f>'2025 Forecast'!D104</f>
        <v>Project and Required Maintenance</v>
      </c>
      <c r="E104" s="33"/>
      <c r="F104" s="33"/>
      <c r="G104" s="26"/>
      <c r="H104" s="33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70"/>
      <c r="V104" s="50"/>
      <c r="W104" s="82"/>
      <c r="X104" s="33"/>
      <c r="Y104" s="243"/>
    </row>
    <row r="105" spans="1:28" ht="15.75" customHeight="1" x14ac:dyDescent="0.3">
      <c r="A105" s="33"/>
      <c r="B105" s="33"/>
      <c r="C105" s="33"/>
      <c r="D105" s="45"/>
      <c r="E105" s="48" t="str">
        <f>'2025 Forecast'!E105</f>
        <v>Other</v>
      </c>
      <c r="F105" s="45"/>
      <c r="G105" s="26"/>
      <c r="H105" s="33"/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70">
        <f t="shared" ref="U105:U107" si="48">SUM(I105:T105)</f>
        <v>0</v>
      </c>
      <c r="V105" s="50">
        <f>'2025 Forecast'!O105</f>
        <v>0</v>
      </c>
      <c r="W105" s="82">
        <f t="shared" ref="W105" si="49">V105-U105</f>
        <v>0</v>
      </c>
      <c r="X105" s="33"/>
      <c r="Y105" s="243"/>
    </row>
    <row r="106" spans="1:28" ht="15.75" customHeight="1" x14ac:dyDescent="0.3">
      <c r="A106" s="33"/>
      <c r="B106" s="33"/>
      <c r="C106" s="33"/>
      <c r="D106" s="45"/>
      <c r="E106" s="48" t="str">
        <f>'2025 Forecast'!E106</f>
        <v>Other</v>
      </c>
      <c r="F106" s="33"/>
      <c r="G106" s="26"/>
      <c r="H106" s="33"/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70">
        <f t="shared" si="48"/>
        <v>0</v>
      </c>
      <c r="V106" s="50">
        <f>'2025 Forecast'!O106</f>
        <v>0</v>
      </c>
      <c r="W106" s="82">
        <f t="shared" ref="W106:W107" si="50">U106-V106</f>
        <v>0</v>
      </c>
      <c r="Y106" s="243"/>
    </row>
    <row r="107" spans="1:28" ht="15.75" customHeight="1" x14ac:dyDescent="0.3">
      <c r="A107" s="33"/>
      <c r="B107" s="33"/>
      <c r="C107" s="33"/>
      <c r="D107" s="45"/>
      <c r="E107" s="143" t="s">
        <v>231</v>
      </c>
      <c r="F107" s="33"/>
      <c r="G107" s="26"/>
      <c r="H107" s="33"/>
      <c r="I107" s="50">
        <f>I147</f>
        <v>0</v>
      </c>
      <c r="J107" s="354">
        <f>J147*0</f>
        <v>0</v>
      </c>
      <c r="K107" s="50">
        <f t="shared" ref="K107:S107" si="51">K147</f>
        <v>2300</v>
      </c>
      <c r="L107" s="50">
        <f t="shared" si="51"/>
        <v>3950</v>
      </c>
      <c r="M107" s="50">
        <f t="shared" si="51"/>
        <v>0</v>
      </c>
      <c r="N107" s="50">
        <f t="shared" si="51"/>
        <v>0</v>
      </c>
      <c r="O107" s="50">
        <f t="shared" si="51"/>
        <v>0</v>
      </c>
      <c r="P107" s="50">
        <f t="shared" si="51"/>
        <v>0</v>
      </c>
      <c r="Q107" s="50">
        <f t="shared" si="51"/>
        <v>0</v>
      </c>
      <c r="R107" s="50">
        <f t="shared" si="51"/>
        <v>0</v>
      </c>
      <c r="S107" s="50">
        <f t="shared" si="51"/>
        <v>1500</v>
      </c>
      <c r="T107" s="354">
        <f>T147*0</f>
        <v>0</v>
      </c>
      <c r="U107" s="70">
        <f t="shared" si="48"/>
        <v>7750</v>
      </c>
      <c r="V107" s="50">
        <f>'2025 Forecast'!O107</f>
        <v>0</v>
      </c>
      <c r="W107" s="82">
        <f t="shared" si="50"/>
        <v>7750</v>
      </c>
      <c r="Y107" s="243"/>
    </row>
    <row r="108" spans="1:28" ht="15.75" customHeight="1" x14ac:dyDescent="0.3">
      <c r="A108" s="33"/>
      <c r="B108" s="33"/>
      <c r="C108" s="33"/>
      <c r="D108" s="47" t="str">
        <f>'2025 Forecast'!D108</f>
        <v>Total Other Expenses</v>
      </c>
      <c r="E108" s="45"/>
      <c r="F108" s="33"/>
      <c r="G108" s="33"/>
      <c r="H108" s="33"/>
      <c r="I108" s="49">
        <f t="shared" ref="I108:W108" si="52">SUM(I105:I107)</f>
        <v>0</v>
      </c>
      <c r="J108" s="49">
        <f t="shared" si="52"/>
        <v>0</v>
      </c>
      <c r="K108" s="49">
        <f t="shared" si="52"/>
        <v>2300</v>
      </c>
      <c r="L108" s="49">
        <f t="shared" si="52"/>
        <v>3950</v>
      </c>
      <c r="M108" s="49">
        <f t="shared" si="52"/>
        <v>0</v>
      </c>
      <c r="N108" s="49">
        <f t="shared" si="52"/>
        <v>0</v>
      </c>
      <c r="O108" s="49">
        <f t="shared" si="52"/>
        <v>0</v>
      </c>
      <c r="P108" s="49">
        <f t="shared" si="52"/>
        <v>0</v>
      </c>
      <c r="Q108" s="49">
        <f t="shared" si="52"/>
        <v>0</v>
      </c>
      <c r="R108" s="49">
        <f t="shared" si="52"/>
        <v>0</v>
      </c>
      <c r="S108" s="49">
        <f t="shared" si="52"/>
        <v>1500</v>
      </c>
      <c r="T108" s="49">
        <f t="shared" si="52"/>
        <v>0</v>
      </c>
      <c r="U108" s="73">
        <f t="shared" si="52"/>
        <v>7750</v>
      </c>
      <c r="V108" s="49">
        <f t="shared" si="52"/>
        <v>0</v>
      </c>
      <c r="W108" s="85">
        <f t="shared" si="52"/>
        <v>7750</v>
      </c>
      <c r="Y108" s="242">
        <f>U108-V108</f>
        <v>7750</v>
      </c>
    </row>
    <row r="109" spans="1:28" ht="15.75" customHeight="1" x14ac:dyDescent="0.3">
      <c r="A109" s="33"/>
      <c r="B109" s="33"/>
      <c r="C109" s="33"/>
      <c r="D109" s="45"/>
      <c r="E109" s="45"/>
      <c r="F109" s="33"/>
      <c r="G109" s="33"/>
      <c r="H109" s="3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70"/>
      <c r="V109" s="50"/>
      <c r="W109" s="82"/>
      <c r="Y109" s="244"/>
    </row>
    <row r="110" spans="1:28" ht="15.75" customHeight="1" x14ac:dyDescent="0.3">
      <c r="A110" s="33"/>
      <c r="B110" s="47" t="s">
        <v>108</v>
      </c>
      <c r="C110" s="45"/>
      <c r="D110" s="45"/>
      <c r="E110" s="45"/>
      <c r="F110" s="33"/>
      <c r="G110" s="33"/>
      <c r="H110" s="33"/>
      <c r="I110" s="138">
        <f t="shared" ref="I110:V110" si="53">I101-I108</f>
        <v>8182.0174133250694</v>
      </c>
      <c r="J110" s="138">
        <f t="shared" si="53"/>
        <v>5171.1964836810876</v>
      </c>
      <c r="K110" s="138">
        <f t="shared" si="53"/>
        <v>2600.3489348002186</v>
      </c>
      <c r="L110" s="138">
        <f t="shared" si="53"/>
        <v>-12061.987359467354</v>
      </c>
      <c r="M110" s="138">
        <f t="shared" si="53"/>
        <v>1977.3012401942087</v>
      </c>
      <c r="N110" s="138">
        <f t="shared" si="53"/>
        <v>-487.64896805113131</v>
      </c>
      <c r="O110" s="138">
        <f t="shared" si="53"/>
        <v>-1701.4436446210402</v>
      </c>
      <c r="P110" s="138">
        <f t="shared" si="53"/>
        <v>468.67893164901034</v>
      </c>
      <c r="Q110" s="138">
        <f t="shared" si="53"/>
        <v>1863.8096083319397</v>
      </c>
      <c r="R110" s="138">
        <f t="shared" si="53"/>
        <v>1597.0913624666864</v>
      </c>
      <c r="S110" s="138">
        <f t="shared" si="53"/>
        <v>4626.2597930273068</v>
      </c>
      <c r="T110" s="138">
        <f t="shared" si="53"/>
        <v>5833.2795470826741</v>
      </c>
      <c r="U110" s="139">
        <f t="shared" si="53"/>
        <v>18068.903342418635</v>
      </c>
      <c r="V110" s="138">
        <f t="shared" si="53"/>
        <v>15665.130550119793</v>
      </c>
      <c r="W110" s="212">
        <f>W108+W101</f>
        <v>17903.772792298852</v>
      </c>
      <c r="Y110" s="242">
        <f>U110-V110</f>
        <v>2403.7727922988415</v>
      </c>
      <c r="AB110" s="52"/>
    </row>
    <row r="111" spans="1:28" ht="15.75" customHeight="1" x14ac:dyDescent="0.3">
      <c r="A111" s="33"/>
      <c r="B111" s="33"/>
      <c r="C111" s="33"/>
      <c r="D111" s="45"/>
      <c r="E111" s="45"/>
      <c r="F111" s="45"/>
      <c r="G111" s="4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237"/>
      <c r="V111" s="33"/>
      <c r="W111" s="238"/>
      <c r="X111" s="33"/>
      <c r="Y111" s="194"/>
      <c r="Z111" s="33"/>
      <c r="AB111" s="52"/>
    </row>
    <row r="112" spans="1:28" ht="15.75" customHeight="1" x14ac:dyDescent="0.3">
      <c r="A112" s="33"/>
      <c r="B112" s="33"/>
      <c r="C112" s="33"/>
      <c r="D112" s="45"/>
      <c r="E112" s="45"/>
      <c r="F112" s="45"/>
      <c r="G112" s="45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237"/>
      <c r="V112" s="33"/>
      <c r="W112" s="238"/>
      <c r="X112" s="33"/>
      <c r="Y112" s="194"/>
      <c r="Z112" s="33"/>
      <c r="AB112" s="52"/>
    </row>
    <row r="113" spans="1:28" ht="15.75" customHeight="1" x14ac:dyDescent="0.3">
      <c r="A113" s="33"/>
      <c r="B113" s="33"/>
      <c r="C113" s="33" t="s">
        <v>129</v>
      </c>
      <c r="D113" s="45"/>
      <c r="E113" s="45"/>
      <c r="F113" s="45"/>
      <c r="G113" s="45"/>
      <c r="H113" s="33"/>
      <c r="I113" s="50">
        <f>I129</f>
        <v>1074.3915973805733</v>
      </c>
      <c r="J113" s="50">
        <f t="shared" ref="J113:T113" si="54">J129</f>
        <v>6107.4398627811779</v>
      </c>
      <c r="K113" s="50">
        <f t="shared" si="54"/>
        <v>1132.4973491667722</v>
      </c>
      <c r="L113" s="50">
        <f t="shared" si="54"/>
        <v>1147.8890316997552</v>
      </c>
      <c r="M113" s="50">
        <f t="shared" si="54"/>
        <v>1150.9471785394423</v>
      </c>
      <c r="N113" s="50">
        <f t="shared" si="54"/>
        <v>1165.8881613678368</v>
      </c>
      <c r="O113" s="50">
        <f t="shared" si="54"/>
        <v>1169.6919040230327</v>
      </c>
      <c r="P113" s="50">
        <f t="shared" si="54"/>
        <v>1179.1554827520104</v>
      </c>
      <c r="Q113" s="50">
        <f t="shared" si="54"/>
        <v>1193.4073820057688</v>
      </c>
      <c r="R113" s="50">
        <f t="shared" si="54"/>
        <v>1198.3510806550644</v>
      </c>
      <c r="S113" s="50">
        <f t="shared" si="54"/>
        <v>1212.1340622766022</v>
      </c>
      <c r="T113" s="50">
        <f t="shared" si="54"/>
        <v>3217.8534947922453</v>
      </c>
      <c r="U113" s="70">
        <f t="shared" ref="U113" si="55">SUM(I113:T113)</f>
        <v>20949.646587440282</v>
      </c>
      <c r="V113" s="50">
        <f>'2025 Forecast'!O113</f>
        <v>20493.642256885818</v>
      </c>
      <c r="W113" s="82">
        <f t="shared" ref="W113" si="56">V113-U113</f>
        <v>-456.0043305544641</v>
      </c>
      <c r="X113" s="33"/>
      <c r="Y113" s="194"/>
      <c r="Z113" s="33"/>
      <c r="AB113" s="52"/>
    </row>
    <row r="114" spans="1:28" ht="15.75" customHeight="1" x14ac:dyDescent="0.3">
      <c r="A114" s="33"/>
      <c r="B114" s="33"/>
      <c r="C114" s="33"/>
      <c r="D114" s="45"/>
      <c r="E114" s="45"/>
      <c r="F114" s="45"/>
      <c r="G114" s="45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237"/>
      <c r="V114" s="33"/>
      <c r="W114" s="256"/>
      <c r="X114" s="33"/>
      <c r="Y114" s="194"/>
      <c r="Z114" s="33"/>
      <c r="AB114" s="52"/>
    </row>
    <row r="115" spans="1:28" ht="15.75" customHeight="1" thickBot="1" x14ac:dyDescent="0.35">
      <c r="A115" s="33"/>
      <c r="B115" s="33"/>
      <c r="C115" s="33"/>
      <c r="D115" s="47" t="s">
        <v>130</v>
      </c>
      <c r="E115" s="45"/>
      <c r="F115" s="45"/>
      <c r="G115" s="45"/>
      <c r="H115" s="33"/>
      <c r="I115" s="252">
        <f>I110-I113</f>
        <v>7107.625815944496</v>
      </c>
      <c r="J115" s="252">
        <f t="shared" ref="J115:V115" si="57">J110-J113</f>
        <v>-936.24337910009035</v>
      </c>
      <c r="K115" s="252">
        <f t="shared" si="57"/>
        <v>1467.8515856334463</v>
      </c>
      <c r="L115" s="252">
        <f t="shared" si="57"/>
        <v>-13209.876391167109</v>
      </c>
      <c r="M115" s="252">
        <f t="shared" si="57"/>
        <v>826.35406165476638</v>
      </c>
      <c r="N115" s="252">
        <f t="shared" si="57"/>
        <v>-1653.5371294189681</v>
      </c>
      <c r="O115" s="252">
        <f t="shared" si="57"/>
        <v>-2871.135548644073</v>
      </c>
      <c r="P115" s="252">
        <f t="shared" si="57"/>
        <v>-710.47655110300002</v>
      </c>
      <c r="Q115" s="252">
        <f t="shared" si="57"/>
        <v>670.40222632617088</v>
      </c>
      <c r="R115" s="252">
        <f t="shared" si="57"/>
        <v>398.74028181162203</v>
      </c>
      <c r="S115" s="252">
        <f t="shared" si="57"/>
        <v>3414.1257307507049</v>
      </c>
      <c r="T115" s="257">
        <f t="shared" si="57"/>
        <v>2615.4260522904287</v>
      </c>
      <c r="U115" s="252">
        <f t="shared" si="57"/>
        <v>-2880.7432450216475</v>
      </c>
      <c r="V115" s="252">
        <f t="shared" si="57"/>
        <v>-4828.5117067660249</v>
      </c>
      <c r="W115" s="255">
        <f t="shared" ref="W115" si="58">U115-V115</f>
        <v>1947.7684617443774</v>
      </c>
      <c r="X115" s="127"/>
      <c r="Y115" s="242">
        <f>U115-V115</f>
        <v>1947.7684617443774</v>
      </c>
      <c r="Z115" s="33"/>
      <c r="AB115" s="52"/>
    </row>
    <row r="116" spans="1:28" ht="15.75" customHeight="1" thickTop="1" x14ac:dyDescent="0.3">
      <c r="A116" s="33"/>
      <c r="B116" s="33"/>
      <c r="C116" s="33"/>
      <c r="D116" s="45"/>
      <c r="E116" s="45"/>
      <c r="F116" s="45"/>
      <c r="G116" s="4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237"/>
      <c r="V116" s="53">
        <f>V115-'2025 Forecast'!O115</f>
        <v>8.1854523159563541E-12</v>
      </c>
      <c r="W116" s="238"/>
      <c r="X116" s="33"/>
      <c r="Y116" s="33"/>
      <c r="Z116" s="33"/>
      <c r="AB116" s="52"/>
    </row>
    <row r="117" spans="1:28" ht="15.75" customHeight="1" x14ac:dyDescent="0.3">
      <c r="A117" s="33"/>
      <c r="B117" s="33"/>
      <c r="C117" s="33"/>
      <c r="D117" s="45"/>
      <c r="E117" s="45"/>
      <c r="F117" s="45"/>
      <c r="G117" s="45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245"/>
      <c r="V117" s="33"/>
      <c r="W117" s="238"/>
      <c r="X117" s="33"/>
      <c r="Y117" s="33"/>
      <c r="Z117" s="33"/>
      <c r="AB117" s="52"/>
    </row>
    <row r="118" spans="1:28" ht="15.75" customHeight="1" x14ac:dyDescent="0.3">
      <c r="A118" s="33"/>
      <c r="B118" s="33"/>
      <c r="C118" s="33"/>
      <c r="D118" s="45"/>
      <c r="E118" s="45"/>
      <c r="F118" s="171"/>
      <c r="G118" s="33"/>
      <c r="H118" s="33"/>
      <c r="I118" s="262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237"/>
      <c r="V118" s="33"/>
      <c r="W118" s="238"/>
      <c r="X118" s="33"/>
      <c r="Y118" s="33"/>
      <c r="Z118" s="33"/>
      <c r="AB118" s="52"/>
    </row>
    <row r="119" spans="1:28" x14ac:dyDescent="0.3">
      <c r="A119" s="128" t="s">
        <v>45</v>
      </c>
      <c r="B119" s="99"/>
      <c r="C119" s="99"/>
      <c r="D119" s="99"/>
      <c r="E119" s="129"/>
      <c r="F119" s="99"/>
      <c r="G119" s="99"/>
      <c r="H119" s="90" t="s">
        <v>230</v>
      </c>
      <c r="I119" s="181" t="str">
        <f t="shared" ref="I119:W119" si="59">I7</f>
        <v>Jan</v>
      </c>
      <c r="J119" s="181" t="str">
        <f t="shared" si="59"/>
        <v>Feb</v>
      </c>
      <c r="K119" s="181" t="str">
        <f t="shared" si="59"/>
        <v>Mar</v>
      </c>
      <c r="L119" s="181" t="str">
        <f t="shared" si="59"/>
        <v>Apr</v>
      </c>
      <c r="M119" s="181" t="str">
        <f t="shared" si="59"/>
        <v>May</v>
      </c>
      <c r="N119" s="181" t="str">
        <f t="shared" si="59"/>
        <v>Jun</v>
      </c>
      <c r="O119" s="181" t="str">
        <f t="shared" si="59"/>
        <v>Jul</v>
      </c>
      <c r="P119" s="181" t="str">
        <f t="shared" si="59"/>
        <v>Aug</v>
      </c>
      <c r="Q119" s="181" t="str">
        <f t="shared" si="59"/>
        <v>Sep</v>
      </c>
      <c r="R119" s="181" t="str">
        <f t="shared" si="59"/>
        <v>Oct</v>
      </c>
      <c r="S119" s="181" t="str">
        <f t="shared" si="59"/>
        <v>Nov</v>
      </c>
      <c r="T119" s="181" t="str">
        <f t="shared" si="59"/>
        <v>Dec</v>
      </c>
      <c r="U119" s="226" t="str">
        <f t="shared" si="59"/>
        <v>TOTAL YR</v>
      </c>
      <c r="V119" s="181" t="str">
        <f t="shared" si="59"/>
        <v>TOTAL YR</v>
      </c>
      <c r="W119" s="234" t="str">
        <f t="shared" si="59"/>
        <v>2026 Budget</v>
      </c>
    </row>
    <row r="120" spans="1:28" x14ac:dyDescent="0.3">
      <c r="A120" s="99"/>
      <c r="B120" s="9" t="s">
        <v>46</v>
      </c>
      <c r="C120" s="99"/>
      <c r="D120" s="99"/>
      <c r="E120" s="99"/>
      <c r="F120" s="99"/>
      <c r="G120" s="99"/>
      <c r="H120" s="179">
        <f>'2025 Forecast'!O119</f>
        <v>10827.01166672299</v>
      </c>
      <c r="I120" s="89">
        <f>I115+H120</f>
        <v>17934.637482667487</v>
      </c>
      <c r="J120" s="89">
        <f t="shared" ref="J120:T120" si="60">J115+I120</f>
        <v>16998.394103567396</v>
      </c>
      <c r="K120" s="89">
        <f t="shared" si="60"/>
        <v>18466.245689200841</v>
      </c>
      <c r="L120" s="89">
        <f t="shared" si="60"/>
        <v>5256.3692980337328</v>
      </c>
      <c r="M120" s="89">
        <f t="shared" si="60"/>
        <v>6082.7233596884989</v>
      </c>
      <c r="N120" s="89">
        <f t="shared" si="60"/>
        <v>4429.1862302695308</v>
      </c>
      <c r="O120" s="89">
        <f t="shared" si="60"/>
        <v>1558.0506816254579</v>
      </c>
      <c r="P120" s="89">
        <f t="shared" si="60"/>
        <v>847.57413052245784</v>
      </c>
      <c r="Q120" s="89">
        <f t="shared" si="60"/>
        <v>1517.9763568486287</v>
      </c>
      <c r="R120" s="89">
        <f t="shared" si="60"/>
        <v>1916.7166386602507</v>
      </c>
      <c r="S120" s="89">
        <f t="shared" si="60"/>
        <v>5330.8423694109551</v>
      </c>
      <c r="T120" s="89">
        <f t="shared" si="60"/>
        <v>7946.2684217013839</v>
      </c>
      <c r="U120" s="338">
        <f>T120</f>
        <v>7946.2684217013839</v>
      </c>
      <c r="V120" s="173">
        <f>'2025 Forecast'!O119</f>
        <v>10827.01166672299</v>
      </c>
      <c r="W120" s="81">
        <f>U120-V120</f>
        <v>-2880.7432450216065</v>
      </c>
    </row>
    <row r="121" spans="1:28" x14ac:dyDescent="0.3">
      <c r="A121" s="99"/>
      <c r="B121" s="130" t="s">
        <v>77</v>
      </c>
      <c r="C121" s="99"/>
      <c r="D121" s="131"/>
      <c r="E121" s="99"/>
      <c r="F121" s="99"/>
      <c r="G121" s="99"/>
      <c r="H121" s="179">
        <f>'2025 Forecast'!O120</f>
        <v>10037.66</v>
      </c>
      <c r="I121" s="89">
        <f t="shared" ref="I121:T121" si="61">+H121</f>
        <v>10037.66</v>
      </c>
      <c r="J121" s="89">
        <f t="shared" si="61"/>
        <v>10037.66</v>
      </c>
      <c r="K121" s="89">
        <f t="shared" si="61"/>
        <v>10037.66</v>
      </c>
      <c r="L121" s="89">
        <f t="shared" si="61"/>
        <v>10037.66</v>
      </c>
      <c r="M121" s="89">
        <f t="shared" si="61"/>
        <v>10037.66</v>
      </c>
      <c r="N121" s="89">
        <f t="shared" si="61"/>
        <v>10037.66</v>
      </c>
      <c r="O121" s="89">
        <f t="shared" si="61"/>
        <v>10037.66</v>
      </c>
      <c r="P121" s="89">
        <f t="shared" si="61"/>
        <v>10037.66</v>
      </c>
      <c r="Q121" s="89">
        <f t="shared" si="61"/>
        <v>10037.66</v>
      </c>
      <c r="R121" s="89">
        <f t="shared" si="61"/>
        <v>10037.66</v>
      </c>
      <c r="S121" s="89">
        <f t="shared" si="61"/>
        <v>10037.66</v>
      </c>
      <c r="T121" s="89">
        <f t="shared" si="61"/>
        <v>10037.66</v>
      </c>
      <c r="U121" s="92">
        <f>T121</f>
        <v>10037.66</v>
      </c>
      <c r="V121" s="89">
        <f>'2025 Forecast'!O120</f>
        <v>10037.66</v>
      </c>
      <c r="W121" s="81">
        <f>U121-V121</f>
        <v>0</v>
      </c>
    </row>
    <row r="122" spans="1:28" ht="7.5" customHeight="1" x14ac:dyDescent="0.3">
      <c r="A122" s="99"/>
      <c r="B122" s="99"/>
      <c r="C122" s="99"/>
      <c r="D122" s="99"/>
      <c r="E122" s="99"/>
      <c r="F122" s="99"/>
      <c r="G122" s="9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227"/>
      <c r="V122" s="59"/>
      <c r="W122" s="228"/>
    </row>
    <row r="123" spans="1:28" ht="14.4" thickBot="1" x14ac:dyDescent="0.35">
      <c r="A123" s="99"/>
      <c r="B123" s="99"/>
      <c r="C123" s="99"/>
      <c r="D123" s="132"/>
      <c r="E123" s="99"/>
      <c r="F123" s="99"/>
      <c r="G123" s="99"/>
      <c r="H123" s="12">
        <f t="shared" ref="H123" si="62">SUM(H119:H122)</f>
        <v>20864.671666722992</v>
      </c>
      <c r="I123" s="12">
        <f t="shared" ref="I123:W123" si="63">SUM(I119:I122)</f>
        <v>27972.297482667487</v>
      </c>
      <c r="J123" s="12">
        <f t="shared" si="63"/>
        <v>27036.054103567396</v>
      </c>
      <c r="K123" s="12">
        <f t="shared" si="63"/>
        <v>28503.905689200841</v>
      </c>
      <c r="L123" s="12">
        <f t="shared" si="63"/>
        <v>15294.029298033733</v>
      </c>
      <c r="M123" s="12">
        <f t="shared" si="63"/>
        <v>16120.383359688498</v>
      </c>
      <c r="N123" s="12">
        <f t="shared" si="63"/>
        <v>14466.84623026953</v>
      </c>
      <c r="O123" s="12">
        <f t="shared" si="63"/>
        <v>11595.710681625458</v>
      </c>
      <c r="P123" s="12">
        <f t="shared" si="63"/>
        <v>10885.234130522458</v>
      </c>
      <c r="Q123" s="12">
        <f t="shared" si="63"/>
        <v>11555.636356848629</v>
      </c>
      <c r="R123" s="12">
        <f t="shared" si="63"/>
        <v>11954.376638660251</v>
      </c>
      <c r="S123" s="12">
        <f t="shared" si="63"/>
        <v>15368.502369410955</v>
      </c>
      <c r="T123" s="12">
        <f t="shared" si="63"/>
        <v>17983.928421701385</v>
      </c>
      <c r="U123" s="94">
        <f t="shared" si="63"/>
        <v>17983.928421701385</v>
      </c>
      <c r="V123" s="12">
        <f t="shared" si="63"/>
        <v>20864.671666722992</v>
      </c>
      <c r="W123" s="229">
        <f t="shared" si="63"/>
        <v>-2880.7432450216065</v>
      </c>
    </row>
    <row r="124" spans="1:28" ht="14.4" thickTop="1" x14ac:dyDescent="0.3">
      <c r="E124" s="99"/>
      <c r="F124" s="99"/>
      <c r="G124" s="99"/>
      <c r="H124" s="1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152">
        <f>H123+U115</f>
        <v>17983.928421701345</v>
      </c>
      <c r="V124" s="236"/>
      <c r="W124" s="96"/>
    </row>
    <row r="125" spans="1:28" x14ac:dyDescent="0.3">
      <c r="H125" s="11"/>
      <c r="I125" s="135"/>
      <c r="U125" s="101">
        <f>U124-U123</f>
        <v>-4.0017766878008842E-11</v>
      </c>
      <c r="V125" s="101"/>
      <c r="W125" s="5"/>
    </row>
    <row r="126" spans="1:28" x14ac:dyDescent="0.3">
      <c r="U126" s="135"/>
      <c r="V126" s="102"/>
      <c r="W126" s="60"/>
    </row>
    <row r="127" spans="1:28" x14ac:dyDescent="0.3">
      <c r="A127" s="133" t="s">
        <v>80</v>
      </c>
      <c r="I127" s="180" t="s">
        <v>106</v>
      </c>
      <c r="J127" s="166"/>
      <c r="K127" s="166"/>
      <c r="L127" s="166"/>
      <c r="M127" s="166"/>
      <c r="N127" s="166"/>
      <c r="O127" s="167"/>
      <c r="P127" s="168"/>
      <c r="Q127" s="166"/>
      <c r="R127" s="166"/>
      <c r="S127" s="166"/>
      <c r="T127" s="166"/>
      <c r="U127" s="169"/>
      <c r="V127" s="101"/>
      <c r="W127" s="53"/>
    </row>
    <row r="128" spans="1:28" x14ac:dyDescent="0.3">
      <c r="B128" s="25" t="s">
        <v>81</v>
      </c>
      <c r="I128" s="74">
        <f t="shared" ref="I128:T128" si="64">H133</f>
        <v>32181.357743114186</v>
      </c>
      <c r="J128" s="74">
        <f t="shared" si="64"/>
        <v>31106.966145733611</v>
      </c>
      <c r="K128" s="74">
        <f t="shared" si="64"/>
        <v>24999.526282952433</v>
      </c>
      <c r="L128" s="74">
        <f t="shared" si="64"/>
        <v>23867.028933785659</v>
      </c>
      <c r="M128" s="74">
        <f t="shared" si="64"/>
        <v>22719.139902085903</v>
      </c>
      <c r="N128" s="74">
        <f t="shared" si="64"/>
        <v>21568.192723546461</v>
      </c>
      <c r="O128" s="74">
        <f t="shared" si="64"/>
        <v>20402.304562178622</v>
      </c>
      <c r="P128" s="74">
        <f t="shared" si="64"/>
        <v>19232.612658155591</v>
      </c>
      <c r="Q128" s="74">
        <f t="shared" si="64"/>
        <v>18053.457175403579</v>
      </c>
      <c r="R128" s="74">
        <f t="shared" si="64"/>
        <v>16860.049793397811</v>
      </c>
      <c r="S128" s="74">
        <f t="shared" si="64"/>
        <v>15661.698712742747</v>
      </c>
      <c r="T128" s="74">
        <f t="shared" si="64"/>
        <v>14449.564650466145</v>
      </c>
      <c r="U128" s="165">
        <f>H133</f>
        <v>32181.357743114186</v>
      </c>
    </row>
    <row r="129" spans="3:27" x14ac:dyDescent="0.3">
      <c r="C129" s="110" t="s">
        <v>84</v>
      </c>
      <c r="I129" s="50">
        <f t="shared" ref="I129:T129" si="65">I131-I130</f>
        <v>1074.3915973805733</v>
      </c>
      <c r="J129" s="50">
        <f t="shared" si="65"/>
        <v>6107.4398627811779</v>
      </c>
      <c r="K129" s="50">
        <f t="shared" si="65"/>
        <v>1132.4973491667722</v>
      </c>
      <c r="L129" s="50">
        <f t="shared" si="65"/>
        <v>1147.8890316997552</v>
      </c>
      <c r="M129" s="50">
        <f t="shared" si="65"/>
        <v>1150.9471785394423</v>
      </c>
      <c r="N129" s="50">
        <f t="shared" si="65"/>
        <v>1165.8881613678368</v>
      </c>
      <c r="O129" s="50">
        <f t="shared" si="65"/>
        <v>1169.6919040230327</v>
      </c>
      <c r="P129" s="50">
        <f t="shared" si="65"/>
        <v>1179.1554827520104</v>
      </c>
      <c r="Q129" s="50">
        <f t="shared" si="65"/>
        <v>1193.4073820057688</v>
      </c>
      <c r="R129" s="50">
        <f t="shared" si="65"/>
        <v>1198.3510806550644</v>
      </c>
      <c r="S129" s="50">
        <f t="shared" si="65"/>
        <v>1212.1340622766022</v>
      </c>
      <c r="T129" s="50">
        <f t="shared" si="65"/>
        <v>3217.8534947922453</v>
      </c>
      <c r="U129" s="149">
        <f>SUM(I129:T129)</f>
        <v>20949.646587440282</v>
      </c>
    </row>
    <row r="130" spans="3:27" x14ac:dyDescent="0.3">
      <c r="C130" s="110" t="s">
        <v>83</v>
      </c>
      <c r="F130" s="134"/>
      <c r="G130" s="98">
        <f>'2025 Forecast'!G129</f>
        <v>9.5000000000000001E-2</v>
      </c>
      <c r="H130" s="109"/>
      <c r="I130" s="111">
        <f>($G130*I135/364)*I128</f>
        <v>260.3684026194266</v>
      </c>
      <c r="J130" s="111">
        <f t="shared" ref="J130:T130" si="66">($G130*J135/364)*J128</f>
        <v>227.32013721882257</v>
      </c>
      <c r="K130" s="111">
        <f t="shared" si="66"/>
        <v>202.26265083322781</v>
      </c>
      <c r="L130" s="111">
        <f t="shared" si="66"/>
        <v>186.87096830024487</v>
      </c>
      <c r="M130" s="111">
        <f t="shared" si="66"/>
        <v>183.81282146055764</v>
      </c>
      <c r="N130" s="111">
        <f t="shared" si="66"/>
        <v>168.87183863216322</v>
      </c>
      <c r="O130" s="111">
        <f t="shared" si="66"/>
        <v>165.06809597696716</v>
      </c>
      <c r="P130" s="111">
        <f t="shared" si="66"/>
        <v>155.60451724798961</v>
      </c>
      <c r="Q130" s="111">
        <f t="shared" si="66"/>
        <v>141.35261799423131</v>
      </c>
      <c r="R130" s="111">
        <f t="shared" si="66"/>
        <v>136.40891934493558</v>
      </c>
      <c r="S130" s="111">
        <f t="shared" si="66"/>
        <v>122.62593772339788</v>
      </c>
      <c r="T130" s="111">
        <f t="shared" si="66"/>
        <v>116.90650520775495</v>
      </c>
      <c r="U130" s="151">
        <f>SUM(I130:T130)</f>
        <v>2067.4734125597192</v>
      </c>
    </row>
    <row r="131" spans="3:27" x14ac:dyDescent="0.3">
      <c r="D131" s="25" t="s">
        <v>85</v>
      </c>
      <c r="I131" s="50">
        <f>'2025 Forecast'!K130</f>
        <v>1334.76</v>
      </c>
      <c r="J131" s="355">
        <f>I131+J145*1</f>
        <v>6334.76</v>
      </c>
      <c r="K131" s="50">
        <f>I131</f>
        <v>1334.76</v>
      </c>
      <c r="L131" s="50">
        <f t="shared" ref="L131:S131" si="67">K131</f>
        <v>1334.76</v>
      </c>
      <c r="M131" s="50">
        <f t="shared" si="67"/>
        <v>1334.76</v>
      </c>
      <c r="N131" s="50">
        <f>M131</f>
        <v>1334.76</v>
      </c>
      <c r="O131" s="50">
        <f t="shared" si="67"/>
        <v>1334.76</v>
      </c>
      <c r="P131" s="50">
        <f t="shared" si="67"/>
        <v>1334.76</v>
      </c>
      <c r="Q131" s="50">
        <f t="shared" si="67"/>
        <v>1334.76</v>
      </c>
      <c r="R131" s="50">
        <f t="shared" si="67"/>
        <v>1334.76</v>
      </c>
      <c r="S131" s="50">
        <f t="shared" si="67"/>
        <v>1334.76</v>
      </c>
      <c r="T131" s="355">
        <f>S131+T145</f>
        <v>3334.76</v>
      </c>
      <c r="U131" s="149">
        <f>SUM(I131:T131)</f>
        <v>23017.119999999995</v>
      </c>
      <c r="V131" s="60"/>
      <c r="AA131" s="55"/>
    </row>
    <row r="132" spans="3:27" x14ac:dyDescent="0.3">
      <c r="C132" s="25" t="s">
        <v>82</v>
      </c>
      <c r="G132" s="336"/>
      <c r="H132" s="105"/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50">
        <f>-S145</f>
        <v>0</v>
      </c>
      <c r="T132" s="42">
        <v>0</v>
      </c>
      <c r="U132" s="149">
        <f>SUM(I132:T132)</f>
        <v>0</v>
      </c>
    </row>
    <row r="133" spans="3:27" x14ac:dyDescent="0.3">
      <c r="D133" s="110" t="s">
        <v>86</v>
      </c>
      <c r="H133" s="112">
        <f>'2025 Forecast'!M132*1</f>
        <v>32181.357743114186</v>
      </c>
      <c r="I133" s="49">
        <f>I128+I132-I129</f>
        <v>31106.966145733611</v>
      </c>
      <c r="J133" s="49">
        <f t="shared" ref="J133:U133" si="68">J128+J132-J129</f>
        <v>24999.526282952433</v>
      </c>
      <c r="K133" s="49">
        <f t="shared" si="68"/>
        <v>23867.028933785659</v>
      </c>
      <c r="L133" s="49">
        <f t="shared" si="68"/>
        <v>22719.139902085903</v>
      </c>
      <c r="M133" s="49">
        <f t="shared" si="68"/>
        <v>21568.192723546461</v>
      </c>
      <c r="N133" s="49">
        <f t="shared" si="68"/>
        <v>20402.304562178622</v>
      </c>
      <c r="O133" s="49">
        <f t="shared" si="68"/>
        <v>19232.612658155591</v>
      </c>
      <c r="P133" s="49">
        <f t="shared" si="68"/>
        <v>18053.457175403579</v>
      </c>
      <c r="Q133" s="49">
        <f t="shared" si="68"/>
        <v>16860.049793397811</v>
      </c>
      <c r="R133" s="49">
        <f t="shared" si="68"/>
        <v>15661.698712742747</v>
      </c>
      <c r="S133" s="49">
        <f t="shared" si="68"/>
        <v>14449.564650466145</v>
      </c>
      <c r="T133" s="49">
        <f t="shared" si="68"/>
        <v>11231.7111556739</v>
      </c>
      <c r="U133" s="150">
        <f t="shared" si="68"/>
        <v>11231.711155673904</v>
      </c>
    </row>
    <row r="134" spans="3:27" x14ac:dyDescent="0.3"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337"/>
    </row>
    <row r="135" spans="3:27" x14ac:dyDescent="0.3">
      <c r="H135" s="109"/>
      <c r="I135" s="160">
        <v>31</v>
      </c>
      <c r="J135" s="160">
        <v>28</v>
      </c>
      <c r="K135" s="160">
        <v>31</v>
      </c>
      <c r="L135" s="160">
        <v>30</v>
      </c>
      <c r="M135" s="160">
        <v>31</v>
      </c>
      <c r="N135" s="160">
        <v>30</v>
      </c>
      <c r="O135" s="160">
        <v>31</v>
      </c>
      <c r="P135" s="160">
        <v>31</v>
      </c>
      <c r="Q135" s="160">
        <v>30</v>
      </c>
      <c r="R135" s="160">
        <v>31</v>
      </c>
      <c r="S135" s="160">
        <v>30</v>
      </c>
      <c r="T135" s="160">
        <v>31</v>
      </c>
      <c r="U135" s="158"/>
      <c r="V135" s="159"/>
    </row>
    <row r="136" spans="3:27" x14ac:dyDescent="0.3">
      <c r="I136" s="42"/>
      <c r="J136" s="42"/>
      <c r="K136" s="42"/>
      <c r="L136" s="42"/>
      <c r="M136" s="42"/>
      <c r="N136" s="42"/>
      <c r="O136" s="55"/>
      <c r="P136" s="55"/>
    </row>
    <row r="137" spans="3:27" x14ac:dyDescent="0.3">
      <c r="F137" s="380" t="s">
        <v>231</v>
      </c>
      <c r="G137" s="157"/>
      <c r="I137" s="25"/>
    </row>
    <row r="138" spans="3:27" x14ac:dyDescent="0.3">
      <c r="G138" s="170" t="str">
        <f>'2025 Forecast'!G139</f>
        <v>Repair ceiling in bathrooms and library</v>
      </c>
      <c r="H138" s="146">
        <f>SUM(I138:T138)</f>
        <v>1350</v>
      </c>
      <c r="I138" s="42">
        <v>0</v>
      </c>
      <c r="J138" s="42">
        <v>0</v>
      </c>
      <c r="K138" s="42">
        <f>12000*0</f>
        <v>0</v>
      </c>
      <c r="L138" s="42">
        <v>1350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136"/>
    </row>
    <row r="139" spans="3:27" x14ac:dyDescent="0.3">
      <c r="F139" s="144"/>
      <c r="G139" s="387" t="str">
        <f>'2025 Forecast'!G140</f>
        <v>Re-surface/stripe tennis court</v>
      </c>
      <c r="H139" s="146">
        <f t="shared" ref="H139:H145" si="69">SUM(I139:T139)</f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136"/>
    </row>
    <row r="140" spans="3:27" x14ac:dyDescent="0.3">
      <c r="G140" s="387" t="str">
        <f>'2025 Forecast'!G141</f>
        <v>Install 2 handicap ramps - wait on City of Dallas</v>
      </c>
      <c r="H140" s="146">
        <f t="shared" si="69"/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136"/>
    </row>
    <row r="141" spans="3:27" x14ac:dyDescent="0.3">
      <c r="G141" s="258" t="s">
        <v>235</v>
      </c>
      <c r="H141" s="146">
        <f t="shared" si="69"/>
        <v>2600</v>
      </c>
      <c r="I141" s="42">
        <v>0</v>
      </c>
      <c r="J141" s="42">
        <v>0</v>
      </c>
      <c r="K141" s="42">
        <v>0</v>
      </c>
      <c r="L141" s="42">
        <f>475+1950+175</f>
        <v>2600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136"/>
    </row>
    <row r="142" spans="3:27" x14ac:dyDescent="0.3">
      <c r="G142" s="258" t="s">
        <v>232</v>
      </c>
      <c r="H142" s="146">
        <f t="shared" si="69"/>
        <v>1500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1500</v>
      </c>
      <c r="T142" s="42">
        <v>0</v>
      </c>
      <c r="U142" s="136"/>
    </row>
    <row r="143" spans="3:27" x14ac:dyDescent="0.3">
      <c r="G143" s="258" t="s">
        <v>239</v>
      </c>
      <c r="H143" s="146">
        <f t="shared" si="69"/>
        <v>2300</v>
      </c>
      <c r="I143" s="42">
        <v>0</v>
      </c>
      <c r="J143" s="42">
        <v>0</v>
      </c>
      <c r="K143" s="42">
        <v>2300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136"/>
    </row>
    <row r="144" spans="3:27" x14ac:dyDescent="0.3">
      <c r="G144" s="387" t="str">
        <f>'2025 Forecast'!G145</f>
        <v>Security Cameras</v>
      </c>
      <c r="H144" s="146">
        <f t="shared" si="69"/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f>3500*0</f>
        <v>0</v>
      </c>
      <c r="R144" s="42">
        <v>0</v>
      </c>
      <c r="S144" s="42">
        <v>0</v>
      </c>
      <c r="T144" s="42">
        <v>0</v>
      </c>
      <c r="U144" s="136"/>
    </row>
    <row r="145" spans="7:21" x14ac:dyDescent="0.3">
      <c r="G145" s="170" t="str">
        <f>'2025 Forecast'!G146</f>
        <v>Pay down loan balance</v>
      </c>
      <c r="H145" s="146">
        <f t="shared" si="69"/>
        <v>7000</v>
      </c>
      <c r="I145" s="42">
        <v>0</v>
      </c>
      <c r="J145" s="142">
        <v>5000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142">
        <v>2000</v>
      </c>
      <c r="U145" s="26" t="s">
        <v>203</v>
      </c>
    </row>
    <row r="146" spans="7:21" ht="7.5" customHeight="1" x14ac:dyDescent="0.3"/>
    <row r="147" spans="7:21" x14ac:dyDescent="0.3">
      <c r="H147" s="49">
        <f t="shared" ref="H147:T147" si="70">SUM(H138:H146)</f>
        <v>14750</v>
      </c>
      <c r="I147" s="49">
        <f t="shared" si="70"/>
        <v>0</v>
      </c>
      <c r="J147" s="49">
        <f t="shared" si="70"/>
        <v>5000</v>
      </c>
      <c r="K147" s="49">
        <f t="shared" si="70"/>
        <v>2300</v>
      </c>
      <c r="L147" s="49">
        <f t="shared" si="70"/>
        <v>3950</v>
      </c>
      <c r="M147" s="49">
        <f t="shared" si="70"/>
        <v>0</v>
      </c>
      <c r="N147" s="49">
        <f t="shared" si="70"/>
        <v>0</v>
      </c>
      <c r="O147" s="49">
        <f t="shared" si="70"/>
        <v>0</v>
      </c>
      <c r="P147" s="49">
        <f t="shared" si="70"/>
        <v>0</v>
      </c>
      <c r="Q147" s="49">
        <f t="shared" si="70"/>
        <v>0</v>
      </c>
      <c r="R147" s="49">
        <f t="shared" si="70"/>
        <v>0</v>
      </c>
      <c r="S147" s="49">
        <f t="shared" si="70"/>
        <v>1500</v>
      </c>
      <c r="T147" s="49">
        <f t="shared" si="70"/>
        <v>2000</v>
      </c>
    </row>
    <row r="149" spans="7:21" ht="14.4" thickBot="1" x14ac:dyDescent="0.35"/>
    <row r="150" spans="7:21" ht="18" x14ac:dyDescent="0.35">
      <c r="I150" s="357" t="s">
        <v>233</v>
      </c>
      <c r="J150" s="340"/>
      <c r="K150" s="340"/>
      <c r="L150" s="340"/>
      <c r="M150" s="340"/>
      <c r="N150" s="340"/>
      <c r="O150" s="340"/>
      <c r="P150" s="341"/>
    </row>
    <row r="151" spans="7:21" ht="18" x14ac:dyDescent="0.35">
      <c r="I151" s="342" t="s">
        <v>219</v>
      </c>
      <c r="P151" s="343"/>
    </row>
    <row r="152" spans="7:21" ht="18" x14ac:dyDescent="0.35">
      <c r="I152" s="342" t="str">
        <f>"- "&amp;TEXT(SUM(H147)/1000,"$0.0")&amp;" budgeted for project spending in 2026."</f>
        <v>- $14.8 budgeted for project spending in 2026.</v>
      </c>
      <c r="P152" s="343"/>
    </row>
    <row r="153" spans="7:21" ht="18" x14ac:dyDescent="0.35">
      <c r="I153" s="342" t="str">
        <f>"- Additional loan principal payment of "&amp;TEXT(SUM(J147+T147)/1000,"$0.0")&amp;" made in 2026."</f>
        <v>- Additional loan principal payment of $7.0 made in 2026.</v>
      </c>
      <c r="P153" s="343"/>
    </row>
    <row r="154" spans="7:21" ht="18" x14ac:dyDescent="0.35">
      <c r="I154" s="342" t="str">
        <f>"- The loan balance is "&amp;TEXT(U133/1000,"$0.0")&amp;" at Dec 2026"</f>
        <v>- The loan balance is $11.2 at Dec 2026</v>
      </c>
      <c r="P154" s="343"/>
    </row>
    <row r="155" spans="7:21" ht="18.600000000000001" thickBot="1" x14ac:dyDescent="0.4">
      <c r="I155" s="344" t="str">
        <f>"- Total cash balance is "&amp;TEXT(U123/1000,"$0.0")&amp;" at Dec 2026"</f>
        <v>- Total cash balance is $18.0 at Dec 2026</v>
      </c>
      <c r="J155" s="345"/>
      <c r="K155" s="345"/>
      <c r="L155" s="345"/>
      <c r="M155" s="345"/>
      <c r="N155" s="345"/>
      <c r="O155" s="345"/>
      <c r="P155" s="346"/>
    </row>
    <row r="162" spans="9:10" x14ac:dyDescent="0.3">
      <c r="I162" s="25"/>
    </row>
    <row r="163" spans="9:10" x14ac:dyDescent="0.3">
      <c r="I163" s="25"/>
    </row>
    <row r="165" spans="9:10" x14ac:dyDescent="0.3">
      <c r="J165" s="365"/>
    </row>
  </sheetData>
  <pageMargins left="0.25" right="0.25" top="0.5" bottom="0.5" header="0.3" footer="0.3"/>
  <pageSetup scale="58" fitToHeight="2" orientation="landscape" horizontalDpi="300" verticalDpi="300" r:id="rId1"/>
  <headerFooter>
    <oddFooter>&amp;L&amp;D</oddFooter>
  </headerFooter>
  <rowBreaks count="2" manualBreakCount="2">
    <brk id="61" max="23" man="1"/>
    <brk id="117" max="2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ntry="1" codeName="Sheet1"/>
  <dimension ref="A1:Y144"/>
  <sheetViews>
    <sheetView workbookViewId="0"/>
  </sheetViews>
  <sheetFormatPr defaultColWidth="9.109375" defaultRowHeight="13.8" outlineLevelRow="1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9" width="11" style="26" customWidth="1"/>
    <col min="10" max="11" width="11" style="26" hidden="1" customWidth="1" outlineLevel="1"/>
    <col min="12" max="12" width="11" style="26" customWidth="1" collapsed="1"/>
    <col min="13" max="13" width="11" style="26" customWidth="1"/>
    <col min="14" max="14" width="2.109375" style="26" customWidth="1"/>
    <col min="15" max="15" width="12.5546875" style="26" customWidth="1"/>
    <col min="16" max="17" width="12.5546875" style="55" customWidth="1"/>
    <col min="18" max="18" width="2.6640625" style="26" customWidth="1"/>
    <col min="19" max="21" width="9.109375" style="26" customWidth="1"/>
    <col min="22" max="22" width="10.33203125" style="26" customWidth="1"/>
    <col min="23" max="24" width="9.109375" style="26" customWidth="1"/>
    <col min="25" max="25" width="10.88671875" style="26" customWidth="1"/>
    <col min="26" max="27" width="9.109375" style="26" customWidth="1"/>
    <col min="28" max="16384" width="9.109375" style="26"/>
  </cols>
  <sheetData>
    <row r="1" spans="1:25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30"/>
      <c r="Q1" s="30"/>
    </row>
    <row r="2" spans="1:25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30"/>
      <c r="Q2" s="30"/>
    </row>
    <row r="3" spans="1:25" x14ac:dyDescent="0.3">
      <c r="A3" s="153" t="s">
        <v>179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30"/>
      <c r="Q3" s="30"/>
    </row>
    <row r="4" spans="1:25" x14ac:dyDescent="0.3">
      <c r="A4" s="4"/>
      <c r="B4" s="6"/>
      <c r="C4" s="28"/>
      <c r="D4" s="28"/>
      <c r="E4" s="28"/>
      <c r="F4" s="28"/>
      <c r="G4" s="197">
        <f>'2024 Budget'!G4</f>
        <v>45242.817207291664</v>
      </c>
      <c r="H4" s="28"/>
      <c r="I4" s="29"/>
      <c r="J4" s="29"/>
      <c r="K4" s="29"/>
      <c r="L4" s="29"/>
      <c r="M4" s="29"/>
      <c r="N4" s="29"/>
      <c r="O4" s="76"/>
      <c r="P4" s="75"/>
      <c r="Q4" s="65" t="s">
        <v>40</v>
      </c>
      <c r="S4" s="103"/>
      <c r="W4" s="116"/>
      <c r="X4" s="116"/>
    </row>
    <row r="5" spans="1:25" x14ac:dyDescent="0.3">
      <c r="A5" s="8"/>
      <c r="B5" s="31"/>
      <c r="C5" s="31"/>
      <c r="D5" s="31"/>
      <c r="E5" s="31"/>
      <c r="F5" s="31"/>
      <c r="G5" s="104"/>
      <c r="H5" s="31"/>
      <c r="I5" s="32"/>
      <c r="J5" s="32"/>
      <c r="K5" s="32"/>
      <c r="L5" s="32"/>
      <c r="M5" s="32"/>
      <c r="N5" s="32"/>
      <c r="O5" s="66">
        <v>2023</v>
      </c>
      <c r="P5" s="37">
        <v>2023</v>
      </c>
      <c r="Q5" s="216" t="s">
        <v>177</v>
      </c>
      <c r="R5" s="33"/>
    </row>
    <row r="6" spans="1:25" x14ac:dyDescent="0.3">
      <c r="A6" s="26"/>
      <c r="I6" s="34" t="s">
        <v>44</v>
      </c>
      <c r="J6" s="263" t="s">
        <v>42</v>
      </c>
      <c r="K6" s="263" t="s">
        <v>42</v>
      </c>
      <c r="L6" s="34" t="s">
        <v>42</v>
      </c>
      <c r="M6" s="34" t="s">
        <v>42</v>
      </c>
      <c r="N6" s="34"/>
      <c r="O6" s="87" t="s">
        <v>42</v>
      </c>
      <c r="P6" s="175" t="s">
        <v>41</v>
      </c>
      <c r="Q6" s="217" t="s">
        <v>43</v>
      </c>
      <c r="R6" s="33"/>
    </row>
    <row r="7" spans="1:25" s="38" customFormat="1" ht="14.4" thickBot="1" x14ac:dyDescent="0.35">
      <c r="A7" s="35"/>
      <c r="B7" s="35"/>
      <c r="C7" s="35"/>
      <c r="D7" s="35"/>
      <c r="E7" s="35"/>
      <c r="F7" s="35"/>
      <c r="G7" s="35"/>
      <c r="H7" s="37"/>
      <c r="I7" s="259" t="s">
        <v>180</v>
      </c>
      <c r="J7" s="264" t="s">
        <v>31</v>
      </c>
      <c r="K7" s="264" t="s">
        <v>32</v>
      </c>
      <c r="L7" s="36" t="s">
        <v>33</v>
      </c>
      <c r="M7" s="36" t="s">
        <v>34</v>
      </c>
      <c r="N7" s="36"/>
      <c r="O7" s="68" t="s">
        <v>67</v>
      </c>
      <c r="P7" s="36" t="s">
        <v>67</v>
      </c>
      <c r="Q7" s="78" t="s">
        <v>158</v>
      </c>
      <c r="R7" s="37"/>
    </row>
    <row r="8" spans="1:25" ht="13.5" customHeight="1" thickTop="1" x14ac:dyDescent="0.3">
      <c r="A8" s="39"/>
      <c r="B8" s="40" t="s">
        <v>0</v>
      </c>
      <c r="C8" s="39"/>
      <c r="D8" s="39"/>
      <c r="E8" s="39"/>
      <c r="F8" s="39"/>
      <c r="G8" s="39"/>
      <c r="H8" s="33"/>
      <c r="I8" s="41"/>
      <c r="J8" s="265"/>
      <c r="K8" s="265"/>
      <c r="L8" s="41"/>
      <c r="M8" s="41"/>
      <c r="N8" s="41"/>
      <c r="O8" s="69"/>
      <c r="P8" s="67"/>
      <c r="Q8" s="79"/>
      <c r="R8" s="33"/>
    </row>
    <row r="9" spans="1:25" ht="13.5" customHeight="1" x14ac:dyDescent="0.3">
      <c r="A9" s="39"/>
      <c r="B9" s="39"/>
      <c r="C9" s="40" t="s">
        <v>1</v>
      </c>
      <c r="D9" s="39"/>
      <c r="E9" s="33"/>
      <c r="F9" s="39"/>
      <c r="G9" s="39"/>
      <c r="H9" s="33"/>
      <c r="I9" s="24"/>
      <c r="J9" s="265"/>
      <c r="K9" s="265"/>
      <c r="L9" s="24"/>
      <c r="M9" s="24"/>
      <c r="N9" s="24"/>
      <c r="O9" s="69"/>
      <c r="Q9" s="81"/>
      <c r="U9" s="38"/>
      <c r="V9" s="38"/>
      <c r="W9" s="38"/>
    </row>
    <row r="10" spans="1:25" ht="13.5" customHeight="1" x14ac:dyDescent="0.3">
      <c r="A10" s="39"/>
      <c r="B10" s="39"/>
      <c r="C10" s="39"/>
      <c r="D10" s="39" t="s">
        <v>64</v>
      </c>
      <c r="E10" s="33"/>
      <c r="F10" s="39"/>
      <c r="G10" s="39"/>
      <c r="H10" s="33"/>
      <c r="I10" s="24"/>
      <c r="J10" s="265"/>
      <c r="K10" s="265"/>
      <c r="L10" s="24"/>
      <c r="M10" s="24"/>
      <c r="N10" s="24"/>
      <c r="O10" s="69"/>
      <c r="Q10" s="81"/>
      <c r="U10" s="140"/>
      <c r="V10" s="140"/>
      <c r="W10" s="140"/>
    </row>
    <row r="11" spans="1:25" ht="13.5" customHeight="1" x14ac:dyDescent="0.3">
      <c r="A11" s="39"/>
      <c r="B11" s="39"/>
      <c r="C11" s="39"/>
      <c r="D11" s="39"/>
      <c r="E11" s="147" t="s">
        <v>124</v>
      </c>
      <c r="F11" s="33"/>
      <c r="G11" s="39"/>
      <c r="H11" s="113"/>
      <c r="I11" s="42">
        <v>0</v>
      </c>
      <c r="J11" s="100">
        <v>0</v>
      </c>
      <c r="K11" s="100">
        <v>0</v>
      </c>
      <c r="L11" s="42">
        <v>0</v>
      </c>
      <c r="M11" s="42">
        <v>0</v>
      </c>
      <c r="N11" s="42"/>
      <c r="O11" s="70">
        <f>SUM(I11:N11)</f>
        <v>0</v>
      </c>
      <c r="P11" s="42">
        <v>0</v>
      </c>
      <c r="Q11" s="82">
        <f t="shared" ref="Q11" si="0">O11-P11</f>
        <v>0</v>
      </c>
      <c r="U11" s="321" t="s">
        <v>164</v>
      </c>
      <c r="V11" s="321" t="s">
        <v>166</v>
      </c>
      <c r="W11" s="321" t="s">
        <v>165</v>
      </c>
    </row>
    <row r="12" spans="1:25" ht="13.5" customHeight="1" x14ac:dyDescent="0.3">
      <c r="A12" s="39"/>
      <c r="B12" s="39"/>
      <c r="C12" s="39"/>
      <c r="D12" s="33"/>
      <c r="E12" s="39" t="s">
        <v>2</v>
      </c>
      <c r="F12" s="33"/>
      <c r="G12" s="39"/>
      <c r="H12" s="329">
        <v>95.01</v>
      </c>
      <c r="I12" s="261">
        <f>115422.01-I13</f>
        <v>116901.01</v>
      </c>
      <c r="J12" s="266">
        <v>0</v>
      </c>
      <c r="K12" s="266">
        <v>0</v>
      </c>
      <c r="L12" s="141">
        <f>89*H12</f>
        <v>8455.8900000000012</v>
      </c>
      <c r="M12" s="141">
        <f>L12+3002</f>
        <v>11457.890000000001</v>
      </c>
      <c r="N12" s="50"/>
      <c r="O12" s="70">
        <f>SUM(I12:N12)</f>
        <v>136814.79</v>
      </c>
      <c r="P12" s="42">
        <v>136809</v>
      </c>
      <c r="Q12" s="82">
        <f>O12-P12</f>
        <v>5.7900000000081491</v>
      </c>
      <c r="T12" s="115"/>
      <c r="U12" s="330">
        <v>5</v>
      </c>
      <c r="V12" s="330">
        <f>20+6</f>
        <v>26</v>
      </c>
      <c r="W12" s="330">
        <f>60+29</f>
        <v>89</v>
      </c>
      <c r="X12" s="37">
        <f>W12+V12+U12</f>
        <v>120</v>
      </c>
      <c r="Y12" s="116">
        <f>X12*H12*12</f>
        <v>136814.40000000002</v>
      </c>
    </row>
    <row r="13" spans="1:25" ht="13.5" customHeight="1" x14ac:dyDescent="0.3">
      <c r="A13" s="39"/>
      <c r="B13" s="39"/>
      <c r="C13" s="39"/>
      <c r="D13" s="33"/>
      <c r="E13" s="39" t="s">
        <v>63</v>
      </c>
      <c r="F13" s="33"/>
      <c r="G13" s="39"/>
      <c r="H13" s="33"/>
      <c r="I13" s="42">
        <v>-1479</v>
      </c>
      <c r="J13" s="100">
        <v>0</v>
      </c>
      <c r="K13" s="100">
        <v>0</v>
      </c>
      <c r="L13" s="42">
        <f>-190*2</f>
        <v>-380</v>
      </c>
      <c r="M13" s="42">
        <f>L13</f>
        <v>-380</v>
      </c>
      <c r="N13" s="50"/>
      <c r="O13" s="70">
        <f>SUM(I13:N13)</f>
        <v>-2239</v>
      </c>
      <c r="P13" s="42">
        <v>-2280</v>
      </c>
      <c r="Q13" s="82">
        <f t="shared" ref="Q13:Q20" si="1">O13-P13</f>
        <v>41</v>
      </c>
      <c r="Y13" s="223">
        <f>Y12-O12</f>
        <v>-0.38999999998486601</v>
      </c>
    </row>
    <row r="14" spans="1:25" ht="6" customHeight="1" x14ac:dyDescent="0.3">
      <c r="A14" s="39"/>
      <c r="B14" s="39"/>
      <c r="C14" s="39"/>
      <c r="D14" s="33"/>
      <c r="E14" s="39"/>
      <c r="F14" s="33"/>
      <c r="G14" s="39"/>
      <c r="H14" s="33"/>
      <c r="I14" s="43"/>
      <c r="J14" s="267"/>
      <c r="K14" s="267"/>
      <c r="L14" s="43"/>
      <c r="M14" s="43"/>
      <c r="N14" s="43"/>
      <c r="O14" s="71"/>
      <c r="P14" s="43"/>
      <c r="Q14" s="83"/>
    </row>
    <row r="15" spans="1:25" ht="13.5" customHeight="1" x14ac:dyDescent="0.3">
      <c r="A15" s="39"/>
      <c r="B15" s="39"/>
      <c r="C15" s="39"/>
      <c r="D15" s="40" t="s">
        <v>66</v>
      </c>
      <c r="E15" s="33"/>
      <c r="F15" s="39"/>
      <c r="G15" s="39"/>
      <c r="H15" s="33"/>
      <c r="I15" s="44">
        <f>SUM(I10:I14)</f>
        <v>115422.01</v>
      </c>
      <c r="J15" s="268">
        <f t="shared" ref="J15:K15" si="2">SUM(J10:J14)</f>
        <v>0</v>
      </c>
      <c r="K15" s="268">
        <f t="shared" si="2"/>
        <v>0</v>
      </c>
      <c r="L15" s="44">
        <f t="shared" ref="L15:Q15" si="3">SUM(L10:L14)</f>
        <v>8075.8900000000012</v>
      </c>
      <c r="M15" s="44">
        <f t="shared" si="3"/>
        <v>11077.890000000001</v>
      </c>
      <c r="N15" s="44"/>
      <c r="O15" s="72">
        <f t="shared" si="3"/>
        <v>134575.79</v>
      </c>
      <c r="P15" s="44">
        <f t="shared" si="3"/>
        <v>134529</v>
      </c>
      <c r="Q15" s="84">
        <f t="shared" si="3"/>
        <v>46.790000000008149</v>
      </c>
      <c r="R15" s="33"/>
      <c r="S15" s="100">
        <f>O15-P15</f>
        <v>46.790000000008149</v>
      </c>
      <c r="X15" s="322"/>
    </row>
    <row r="16" spans="1:25" ht="13.5" customHeight="1" x14ac:dyDescent="0.3">
      <c r="A16" s="39"/>
      <c r="B16" s="39"/>
      <c r="C16" s="39"/>
      <c r="D16" s="39"/>
      <c r="E16" s="33"/>
      <c r="F16" s="39"/>
      <c r="G16" s="45"/>
      <c r="H16" s="33"/>
      <c r="I16" s="46"/>
      <c r="J16" s="100"/>
      <c r="K16" s="100"/>
      <c r="L16" s="46"/>
      <c r="M16" s="46"/>
      <c r="N16" s="46"/>
      <c r="O16" s="70"/>
      <c r="P16" s="46"/>
      <c r="Q16" s="82"/>
      <c r="S16" s="201"/>
      <c r="X16" s="322"/>
    </row>
    <row r="17" spans="1:24" ht="13.5" customHeight="1" x14ac:dyDescent="0.3">
      <c r="A17" s="39"/>
      <c r="B17" s="39"/>
      <c r="C17" s="39"/>
      <c r="D17" s="39" t="s">
        <v>3</v>
      </c>
      <c r="E17" s="33"/>
      <c r="F17" s="39"/>
      <c r="G17" s="39"/>
      <c r="H17" s="328">
        <v>2.5000000000000001E-3</v>
      </c>
      <c r="I17" s="42">
        <v>250</v>
      </c>
      <c r="J17" s="100">
        <f>$H17*G121/12</f>
        <v>0</v>
      </c>
      <c r="K17" s="100">
        <v>0</v>
      </c>
      <c r="L17" s="50">
        <f>$H17*I121/12</f>
        <v>5.2258062500000007</v>
      </c>
      <c r="M17" s="50">
        <f>$H17*L121/12</f>
        <v>4.9540595429687508</v>
      </c>
      <c r="N17" s="50"/>
      <c r="O17" s="70">
        <f t="shared" ref="O17:O20" si="4">SUM(I17:N17)</f>
        <v>260.17986579296877</v>
      </c>
      <c r="P17" s="42">
        <v>380</v>
      </c>
      <c r="Q17" s="82">
        <f t="shared" si="1"/>
        <v>-119.82013420703123</v>
      </c>
      <c r="S17" s="201"/>
      <c r="X17" s="322"/>
    </row>
    <row r="18" spans="1:24" ht="13.5" customHeight="1" x14ac:dyDescent="0.3">
      <c r="A18" s="39"/>
      <c r="B18" s="39"/>
      <c r="C18" s="39"/>
      <c r="D18" s="39" t="s">
        <v>142</v>
      </c>
      <c r="E18" s="33"/>
      <c r="F18" s="39"/>
      <c r="G18" s="39"/>
      <c r="H18" s="33"/>
      <c r="I18" s="42">
        <v>0</v>
      </c>
      <c r="J18" s="100">
        <v>0</v>
      </c>
      <c r="K18" s="100">
        <v>0</v>
      </c>
      <c r="L18" s="42">
        <v>0</v>
      </c>
      <c r="M18" s="42">
        <v>0</v>
      </c>
      <c r="N18" s="42"/>
      <c r="O18" s="70">
        <f t="shared" si="4"/>
        <v>0</v>
      </c>
      <c r="P18" s="42">
        <v>600</v>
      </c>
      <c r="Q18" s="82">
        <f t="shared" si="1"/>
        <v>-600</v>
      </c>
      <c r="S18" s="201"/>
      <c r="X18" s="322"/>
    </row>
    <row r="19" spans="1:24" ht="13.5" customHeight="1" x14ac:dyDescent="0.3">
      <c r="A19" s="39"/>
      <c r="B19" s="39"/>
      <c r="C19" s="39"/>
      <c r="D19" s="39" t="s">
        <v>146</v>
      </c>
      <c r="E19" s="33"/>
      <c r="F19" s="39"/>
      <c r="G19" s="39"/>
      <c r="H19" s="33"/>
      <c r="I19" s="42">
        <v>3500</v>
      </c>
      <c r="J19" s="100">
        <v>0</v>
      </c>
      <c r="K19" s="100">
        <v>0</v>
      </c>
      <c r="L19" s="42">
        <v>0</v>
      </c>
      <c r="M19" s="42">
        <v>0</v>
      </c>
      <c r="N19" s="42"/>
      <c r="O19" s="70">
        <f t="shared" si="4"/>
        <v>3500</v>
      </c>
      <c r="P19" s="42">
        <v>1400</v>
      </c>
      <c r="Q19" s="82">
        <f t="shared" ref="Q19" si="5">O19-P19</f>
        <v>2100</v>
      </c>
      <c r="S19" s="201"/>
    </row>
    <row r="20" spans="1:24" ht="13.5" customHeight="1" x14ac:dyDescent="0.3">
      <c r="A20" s="39"/>
      <c r="B20" s="39"/>
      <c r="C20" s="39"/>
      <c r="D20" s="32" t="s">
        <v>141</v>
      </c>
      <c r="E20" s="33"/>
      <c r="F20" s="39"/>
      <c r="G20" s="39"/>
      <c r="H20" s="33"/>
      <c r="I20" s="260">
        <f>4.01-189.43</f>
        <v>-185.42000000000002</v>
      </c>
      <c r="J20" s="269">
        <v>0</v>
      </c>
      <c r="K20" s="269">
        <v>0</v>
      </c>
      <c r="L20" s="206">
        <v>0</v>
      </c>
      <c r="M20" s="206">
        <v>0</v>
      </c>
      <c r="N20" s="206"/>
      <c r="O20" s="207">
        <f t="shared" si="4"/>
        <v>-185.42000000000002</v>
      </c>
      <c r="P20" s="206">
        <v>248</v>
      </c>
      <c r="Q20" s="208">
        <f t="shared" si="1"/>
        <v>-433.42</v>
      </c>
      <c r="S20" s="201"/>
    </row>
    <row r="21" spans="1:24" ht="8.25" customHeight="1" x14ac:dyDescent="0.3">
      <c r="A21" s="39"/>
      <c r="B21" s="39"/>
      <c r="C21" s="39"/>
      <c r="D21" s="39"/>
      <c r="E21" s="33"/>
      <c r="F21" s="39"/>
      <c r="G21" s="39"/>
      <c r="H21" s="33"/>
      <c r="I21" s="42"/>
      <c r="J21" s="100"/>
      <c r="K21" s="100"/>
      <c r="L21" s="42"/>
      <c r="M21" s="42"/>
      <c r="N21" s="42"/>
      <c r="O21" s="70"/>
      <c r="P21" s="50"/>
      <c r="Q21" s="82"/>
      <c r="S21" s="201"/>
    </row>
    <row r="22" spans="1:24" ht="13.5" customHeight="1" x14ac:dyDescent="0.3">
      <c r="A22" s="39"/>
      <c r="B22" s="39"/>
      <c r="C22" s="40" t="s">
        <v>122</v>
      </c>
      <c r="D22" s="39"/>
      <c r="E22" s="33"/>
      <c r="F22" s="39"/>
      <c r="G22" s="39"/>
      <c r="H22" s="33"/>
      <c r="I22" s="44">
        <f>SUM(I17:I21)+I15</f>
        <v>118986.59</v>
      </c>
      <c r="J22" s="268">
        <f>SUM(J17:J21)+J15</f>
        <v>0</v>
      </c>
      <c r="K22" s="268">
        <f>SUM(K17:K21)+K15</f>
        <v>0</v>
      </c>
      <c r="L22" s="44">
        <f>SUM(L17:L21)+L15</f>
        <v>8081.1158062500008</v>
      </c>
      <c r="M22" s="44">
        <f>SUM(M17:M21)+M15</f>
        <v>11082.844059542969</v>
      </c>
      <c r="N22" s="44"/>
      <c r="O22" s="72">
        <f>SUM(O17:O21)+O15</f>
        <v>138150.54986579297</v>
      </c>
      <c r="P22" s="44">
        <f>SUM(P17:P21)+P15</f>
        <v>137157</v>
      </c>
      <c r="Q22" s="84">
        <f>SUM(Q17:Q21)+Q15</f>
        <v>993.54986579297679</v>
      </c>
      <c r="R22" s="54"/>
      <c r="S22" s="100">
        <f>O22-P22</f>
        <v>993.5498657929711</v>
      </c>
    </row>
    <row r="23" spans="1:24" ht="13.5" customHeight="1" x14ac:dyDescent="0.3">
      <c r="A23" s="39"/>
      <c r="B23" s="39"/>
      <c r="C23" s="39"/>
      <c r="D23" s="39"/>
      <c r="E23" s="33"/>
      <c r="F23" s="39"/>
      <c r="G23" s="39"/>
      <c r="H23" s="33"/>
      <c r="I23" s="42"/>
      <c r="J23" s="100"/>
      <c r="K23" s="100"/>
      <c r="L23" s="42"/>
      <c r="M23" s="42"/>
      <c r="N23" s="42"/>
      <c r="O23" s="70"/>
      <c r="P23" s="50"/>
      <c r="Q23" s="82"/>
      <c r="S23" s="201"/>
    </row>
    <row r="24" spans="1:24" ht="13.5" customHeight="1" x14ac:dyDescent="0.3">
      <c r="A24" s="39"/>
      <c r="B24" s="39"/>
      <c r="C24" s="40" t="s">
        <v>120</v>
      </c>
      <c r="D24" s="39"/>
      <c r="E24" s="39"/>
      <c r="F24" s="39"/>
      <c r="G24" s="33"/>
      <c r="H24" s="33"/>
      <c r="I24" s="46"/>
      <c r="J24" s="100"/>
      <c r="K24" s="100"/>
      <c r="L24" s="46"/>
      <c r="M24" s="46"/>
      <c r="N24" s="46"/>
      <c r="O24" s="70"/>
      <c r="P24" s="46"/>
      <c r="Q24" s="82"/>
      <c r="S24" s="201"/>
    </row>
    <row r="25" spans="1:24" ht="13.5" customHeight="1" x14ac:dyDescent="0.3">
      <c r="A25" s="39"/>
      <c r="B25" s="39"/>
      <c r="C25" s="40"/>
      <c r="D25" s="45" t="s">
        <v>112</v>
      </c>
      <c r="E25" s="39"/>
      <c r="F25" s="39"/>
      <c r="G25" s="33"/>
      <c r="H25" s="33" t="s">
        <v>182</v>
      </c>
      <c r="I25" s="42">
        <f>-856.37</f>
        <v>-856.37</v>
      </c>
      <c r="J25" s="100">
        <v>0</v>
      </c>
      <c r="K25" s="100">
        <v>0</v>
      </c>
      <c r="L25" s="42">
        <v>0</v>
      </c>
      <c r="M25" s="46">
        <v>0</v>
      </c>
      <c r="N25" s="46"/>
      <c r="O25" s="70">
        <f>SUM(I25:N25)</f>
        <v>-856.37</v>
      </c>
      <c r="P25" s="42">
        <v>0</v>
      </c>
      <c r="Q25" s="82">
        <f>P25-O25</f>
        <v>856.37</v>
      </c>
      <c r="S25" s="201"/>
    </row>
    <row r="26" spans="1:24" ht="13.5" customHeight="1" x14ac:dyDescent="0.3">
      <c r="A26" s="39"/>
      <c r="B26" s="39"/>
      <c r="C26" s="39"/>
      <c r="D26" s="45" t="s">
        <v>78</v>
      </c>
      <c r="E26" s="39"/>
      <c r="F26" s="39"/>
      <c r="G26" s="33"/>
      <c r="H26" s="33"/>
      <c r="I26" s="42">
        <v>5615.5</v>
      </c>
      <c r="J26" s="100">
        <v>0</v>
      </c>
      <c r="K26" s="100">
        <v>0</v>
      </c>
      <c r="L26" s="42">
        <v>357</v>
      </c>
      <c r="M26" s="42">
        <v>357</v>
      </c>
      <c r="N26" s="42"/>
      <c r="O26" s="70">
        <f>SUM(I26:N26)</f>
        <v>6329.5</v>
      </c>
      <c r="P26" s="42">
        <v>5990</v>
      </c>
      <c r="Q26" s="82">
        <f>P26-O26</f>
        <v>-339.5</v>
      </c>
      <c r="S26" s="201"/>
    </row>
    <row r="27" spans="1:24" ht="13.5" customHeight="1" x14ac:dyDescent="0.3">
      <c r="A27" s="39"/>
      <c r="B27" s="39"/>
      <c r="C27" s="39"/>
      <c r="D27" s="48" t="s">
        <v>99</v>
      </c>
      <c r="E27" s="39"/>
      <c r="F27" s="39"/>
      <c r="G27" s="33"/>
      <c r="H27" s="33"/>
      <c r="I27" s="42">
        <v>50</v>
      </c>
      <c r="J27" s="100">
        <v>0</v>
      </c>
      <c r="K27" s="100">
        <v>0</v>
      </c>
      <c r="L27" s="42">
        <v>0</v>
      </c>
      <c r="M27" s="42">
        <v>100</v>
      </c>
      <c r="N27" s="42"/>
      <c r="O27" s="70">
        <f t="shared" ref="O27:O36" si="6">SUM(I27:N27)</f>
        <v>150</v>
      </c>
      <c r="P27" s="42">
        <v>200</v>
      </c>
      <c r="Q27" s="82">
        <f t="shared" ref="Q27" si="7">P27-O27</f>
        <v>50</v>
      </c>
      <c r="S27" s="201"/>
    </row>
    <row r="28" spans="1:24" ht="13.5" customHeight="1" x14ac:dyDescent="0.3">
      <c r="A28" s="39"/>
      <c r="B28" s="39"/>
      <c r="C28" s="39"/>
      <c r="D28" s="45" t="s">
        <v>4</v>
      </c>
      <c r="E28" s="39"/>
      <c r="F28" s="39"/>
      <c r="G28" s="33"/>
      <c r="H28" s="33"/>
      <c r="I28" s="42">
        <v>4726</v>
      </c>
      <c r="J28" s="100">
        <v>0</v>
      </c>
      <c r="K28" s="100">
        <v>0</v>
      </c>
      <c r="L28" s="42">
        <v>0</v>
      </c>
      <c r="M28" s="42">
        <v>0</v>
      </c>
      <c r="N28" s="42"/>
      <c r="O28" s="70">
        <f t="shared" si="6"/>
        <v>4726</v>
      </c>
      <c r="P28" s="42">
        <v>5100</v>
      </c>
      <c r="Q28" s="82">
        <f t="shared" ref="Q28:Q36" si="8">P28-O28</f>
        <v>374</v>
      </c>
      <c r="S28" s="201"/>
    </row>
    <row r="29" spans="1:24" ht="13.5" customHeight="1" x14ac:dyDescent="0.3">
      <c r="A29" s="39"/>
      <c r="B29" s="39"/>
      <c r="C29" s="39"/>
      <c r="D29" s="33" t="s">
        <v>113</v>
      </c>
      <c r="E29" s="39"/>
      <c r="F29" s="39"/>
      <c r="G29" s="33"/>
      <c r="H29" s="33"/>
      <c r="I29" s="42">
        <v>89.86</v>
      </c>
      <c r="J29" s="100">
        <v>0</v>
      </c>
      <c r="K29" s="100">
        <v>0</v>
      </c>
      <c r="L29" s="50">
        <f t="shared" ref="L29:M29" si="9">L128</f>
        <v>0</v>
      </c>
      <c r="M29" s="50">
        <f t="shared" si="9"/>
        <v>0</v>
      </c>
      <c r="N29" s="42"/>
      <c r="O29" s="70">
        <f t="shared" si="6"/>
        <v>89.86</v>
      </c>
      <c r="P29" s="42">
        <v>68</v>
      </c>
      <c r="Q29" s="82">
        <f t="shared" si="8"/>
        <v>-21.86</v>
      </c>
      <c r="S29" s="201"/>
    </row>
    <row r="30" spans="1:24" ht="13.5" customHeight="1" x14ac:dyDescent="0.3">
      <c r="A30" s="39"/>
      <c r="B30" s="39"/>
      <c r="C30" s="39"/>
      <c r="D30" s="45" t="s">
        <v>73</v>
      </c>
      <c r="E30" s="39"/>
      <c r="F30" s="39"/>
      <c r="G30" s="33"/>
      <c r="H30" s="33"/>
      <c r="I30" s="42">
        <v>5</v>
      </c>
      <c r="J30" s="100">
        <v>0</v>
      </c>
      <c r="K30" s="100">
        <v>0</v>
      </c>
      <c r="L30" s="42">
        <v>0</v>
      </c>
      <c r="M30" s="42">
        <v>0</v>
      </c>
      <c r="N30" s="42"/>
      <c r="O30" s="70">
        <f t="shared" si="6"/>
        <v>5</v>
      </c>
      <c r="P30" s="42">
        <v>2100</v>
      </c>
      <c r="Q30" s="82">
        <f t="shared" si="8"/>
        <v>2095</v>
      </c>
      <c r="S30" s="201"/>
    </row>
    <row r="31" spans="1:24" ht="13.5" customHeight="1" x14ac:dyDescent="0.3">
      <c r="A31" s="39"/>
      <c r="B31" s="39"/>
      <c r="C31" s="39"/>
      <c r="D31" s="45" t="s">
        <v>61</v>
      </c>
      <c r="E31" s="39"/>
      <c r="F31" s="39"/>
      <c r="G31" s="33"/>
      <c r="H31" s="33"/>
      <c r="I31" s="42">
        <v>24.36</v>
      </c>
      <c r="J31" s="100">
        <v>0</v>
      </c>
      <c r="K31" s="100">
        <v>0</v>
      </c>
      <c r="L31" s="42">
        <v>0</v>
      </c>
      <c r="M31" s="42">
        <v>0</v>
      </c>
      <c r="N31" s="42"/>
      <c r="O31" s="70">
        <f t="shared" si="6"/>
        <v>24.36</v>
      </c>
      <c r="P31" s="42">
        <v>0</v>
      </c>
      <c r="Q31" s="82">
        <f t="shared" si="8"/>
        <v>-24.36</v>
      </c>
      <c r="S31" s="201"/>
    </row>
    <row r="32" spans="1:24" ht="13.5" customHeight="1" x14ac:dyDescent="0.3">
      <c r="A32" s="39"/>
      <c r="B32" s="39"/>
      <c r="C32" s="39"/>
      <c r="D32" s="45" t="s">
        <v>145</v>
      </c>
      <c r="E32" s="39"/>
      <c r="F32" s="39"/>
      <c r="G32" s="33"/>
      <c r="H32" s="33"/>
      <c r="I32" s="42">
        <v>318.49</v>
      </c>
      <c r="J32" s="100">
        <v>0</v>
      </c>
      <c r="K32" s="100">
        <v>0</v>
      </c>
      <c r="L32" s="42">
        <v>100</v>
      </c>
      <c r="M32" s="42">
        <v>0</v>
      </c>
      <c r="N32" s="42"/>
      <c r="O32" s="70">
        <f t="shared" si="6"/>
        <v>418.49</v>
      </c>
      <c r="P32" s="42">
        <v>500</v>
      </c>
      <c r="Q32" s="82">
        <f t="shared" si="8"/>
        <v>81.509999999999991</v>
      </c>
      <c r="S32" s="201"/>
    </row>
    <row r="33" spans="1:19" ht="13.5" customHeight="1" x14ac:dyDescent="0.3">
      <c r="A33" s="39"/>
      <c r="B33" s="39"/>
      <c r="C33" s="39"/>
      <c r="D33" s="45" t="s">
        <v>22</v>
      </c>
      <c r="E33" s="39"/>
      <c r="F33" s="39"/>
      <c r="G33" s="33"/>
      <c r="H33" s="33"/>
      <c r="I33" s="42">
        <v>226</v>
      </c>
      <c r="J33" s="100">
        <v>0</v>
      </c>
      <c r="K33" s="100">
        <v>0</v>
      </c>
      <c r="L33" s="42">
        <v>0</v>
      </c>
      <c r="M33" s="42">
        <v>0</v>
      </c>
      <c r="N33" s="42"/>
      <c r="O33" s="70">
        <f t="shared" si="6"/>
        <v>226</v>
      </c>
      <c r="P33" s="42">
        <v>312</v>
      </c>
      <c r="Q33" s="82">
        <f t="shared" si="8"/>
        <v>86</v>
      </c>
      <c r="S33" s="201"/>
    </row>
    <row r="34" spans="1:19" ht="13.5" customHeight="1" x14ac:dyDescent="0.3">
      <c r="A34" s="39"/>
      <c r="B34" s="39"/>
      <c r="C34" s="39"/>
      <c r="D34" s="45" t="s">
        <v>23</v>
      </c>
      <c r="E34" s="39"/>
      <c r="F34" s="39"/>
      <c r="G34" s="33"/>
      <c r="H34" s="33"/>
      <c r="I34" s="42">
        <v>8300</v>
      </c>
      <c r="J34" s="100">
        <v>0</v>
      </c>
      <c r="K34" s="100">
        <v>0</v>
      </c>
      <c r="L34" s="42">
        <v>900</v>
      </c>
      <c r="M34" s="42">
        <v>800</v>
      </c>
      <c r="N34" s="42"/>
      <c r="O34" s="70">
        <f t="shared" si="6"/>
        <v>10000</v>
      </c>
      <c r="P34" s="42">
        <v>10400</v>
      </c>
      <c r="Q34" s="82">
        <f t="shared" si="8"/>
        <v>400</v>
      </c>
      <c r="S34" s="201"/>
    </row>
    <row r="35" spans="1:19" ht="13.5" customHeight="1" x14ac:dyDescent="0.3">
      <c r="A35" s="39"/>
      <c r="B35" s="39"/>
      <c r="C35" s="39"/>
      <c r="D35" s="33" t="s">
        <v>79</v>
      </c>
      <c r="E35" s="39"/>
      <c r="F35" s="39"/>
      <c r="G35" s="33"/>
      <c r="H35" s="33"/>
      <c r="I35" s="42">
        <v>153.52000000000001</v>
      </c>
      <c r="J35" s="100">
        <v>0</v>
      </c>
      <c r="K35" s="100">
        <v>0</v>
      </c>
      <c r="L35" s="42">
        <v>0</v>
      </c>
      <c r="M35" s="42">
        <v>150</v>
      </c>
      <c r="N35" s="42"/>
      <c r="O35" s="70">
        <f t="shared" si="6"/>
        <v>303.52</v>
      </c>
      <c r="P35" s="42">
        <v>650</v>
      </c>
      <c r="Q35" s="82">
        <f t="shared" si="8"/>
        <v>346.48</v>
      </c>
      <c r="S35" s="201"/>
    </row>
    <row r="36" spans="1:19" ht="13.5" customHeight="1" x14ac:dyDescent="0.3">
      <c r="A36" s="39"/>
      <c r="B36" s="39"/>
      <c r="C36" s="39"/>
      <c r="D36" s="136" t="s">
        <v>184</v>
      </c>
      <c r="E36" s="39"/>
      <c r="F36" s="39"/>
      <c r="G36" s="33"/>
      <c r="H36" s="33"/>
      <c r="I36" s="260">
        <f>500+1859.72</f>
        <v>2359.7200000000003</v>
      </c>
      <c r="J36" s="269">
        <v>0</v>
      </c>
      <c r="K36" s="269">
        <v>0</v>
      </c>
      <c r="L36" s="206">
        <v>44</v>
      </c>
      <c r="M36" s="206">
        <v>44</v>
      </c>
      <c r="N36" s="206"/>
      <c r="O36" s="207">
        <f t="shared" si="6"/>
        <v>2447.7200000000003</v>
      </c>
      <c r="P36" s="206">
        <v>300</v>
      </c>
      <c r="Q36" s="208">
        <f t="shared" si="8"/>
        <v>-2147.7200000000003</v>
      </c>
      <c r="S36" s="201"/>
    </row>
    <row r="37" spans="1:19" ht="6" customHeight="1" x14ac:dyDescent="0.3">
      <c r="A37" s="39"/>
      <c r="B37" s="39"/>
      <c r="C37" s="40"/>
      <c r="D37" s="45"/>
      <c r="E37" s="39"/>
      <c r="F37" s="39"/>
      <c r="G37" s="33"/>
      <c r="H37" s="33"/>
      <c r="I37" s="42"/>
      <c r="J37" s="100"/>
      <c r="K37" s="100"/>
      <c r="L37" s="42"/>
      <c r="M37" s="42"/>
      <c r="N37" s="42"/>
      <c r="O37" s="70"/>
      <c r="P37" s="50"/>
      <c r="Q37" s="82"/>
      <c r="S37" s="201"/>
    </row>
    <row r="38" spans="1:19" ht="13.5" customHeight="1" x14ac:dyDescent="0.3">
      <c r="A38" s="39"/>
      <c r="B38" s="39"/>
      <c r="C38" s="40" t="s">
        <v>121</v>
      </c>
      <c r="D38" s="45"/>
      <c r="E38" s="39"/>
      <c r="F38" s="39"/>
      <c r="G38" s="33"/>
      <c r="H38" s="33"/>
      <c r="I38" s="44">
        <f>SUM(I25:I37)</f>
        <v>21012.080000000005</v>
      </c>
      <c r="J38" s="268">
        <f>SUM(J25:J37)</f>
        <v>0</v>
      </c>
      <c r="K38" s="268">
        <f>SUM(K25:K37)</f>
        <v>0</v>
      </c>
      <c r="L38" s="44">
        <f>SUM(L25:L37)</f>
        <v>1401</v>
      </c>
      <c r="M38" s="44">
        <f>SUM(M25:M37)</f>
        <v>1451</v>
      </c>
      <c r="N38" s="209"/>
      <c r="O38" s="72">
        <f>SUM(O25:O37)</f>
        <v>23864.080000000005</v>
      </c>
      <c r="P38" s="44">
        <f>SUM(P25:P37)</f>
        <v>25620</v>
      </c>
      <c r="Q38" s="84">
        <f>SUM(Q25:Q37)</f>
        <v>1755.9199999999996</v>
      </c>
      <c r="S38" s="100">
        <f>P38-O38</f>
        <v>1755.9199999999946</v>
      </c>
    </row>
    <row r="39" spans="1:19" ht="13.5" customHeight="1" x14ac:dyDescent="0.3">
      <c r="A39" s="39"/>
      <c r="B39" s="39"/>
      <c r="C39" s="40"/>
      <c r="D39" s="45"/>
      <c r="E39" s="39"/>
      <c r="F39" s="39"/>
      <c r="G39" s="33"/>
      <c r="H39" s="33"/>
      <c r="I39" s="33"/>
      <c r="J39" s="100"/>
      <c r="K39" s="100"/>
      <c r="L39" s="42"/>
      <c r="M39" s="42"/>
      <c r="N39" s="42"/>
      <c r="O39" s="70"/>
      <c r="P39" s="50"/>
      <c r="Q39" s="82"/>
      <c r="S39" s="201"/>
    </row>
    <row r="40" spans="1:19" ht="13.5" customHeight="1" x14ac:dyDescent="0.3">
      <c r="A40" s="39"/>
      <c r="B40" s="39"/>
      <c r="C40" s="47" t="s">
        <v>5</v>
      </c>
      <c r="D40" s="45"/>
      <c r="E40" s="39"/>
      <c r="F40" s="39"/>
      <c r="G40" s="33"/>
      <c r="H40" s="33"/>
      <c r="I40" s="42"/>
      <c r="J40" s="100"/>
      <c r="K40" s="100"/>
      <c r="L40" s="42"/>
      <c r="M40" s="42"/>
      <c r="N40" s="42"/>
      <c r="O40" s="70"/>
      <c r="P40" s="50"/>
      <c r="Q40" s="82"/>
      <c r="S40" s="201"/>
    </row>
    <row r="41" spans="1:19" ht="13.5" customHeight="1" x14ac:dyDescent="0.3">
      <c r="A41" s="39"/>
      <c r="B41" s="39"/>
      <c r="C41" s="40"/>
      <c r="D41" s="45" t="s">
        <v>6</v>
      </c>
      <c r="E41" s="39"/>
      <c r="F41" s="39"/>
      <c r="G41" s="33"/>
      <c r="H41" s="33"/>
      <c r="I41" s="42">
        <v>3457.5</v>
      </c>
      <c r="J41" s="100">
        <v>0</v>
      </c>
      <c r="K41" s="332">
        <v>0</v>
      </c>
      <c r="L41" s="42">
        <v>0</v>
      </c>
      <c r="M41" s="42">
        <v>0</v>
      </c>
      <c r="N41" s="42"/>
      <c r="O41" s="70">
        <f t="shared" ref="O41:O46" si="10">SUM(I41:N41)</f>
        <v>3457.5</v>
      </c>
      <c r="P41" s="42">
        <v>3350</v>
      </c>
      <c r="Q41" s="82">
        <f t="shared" ref="Q41:Q46" si="11">P41-O41</f>
        <v>-107.5</v>
      </c>
      <c r="S41" s="201"/>
    </row>
    <row r="42" spans="1:19" ht="13.5" customHeight="1" x14ac:dyDescent="0.3">
      <c r="A42" s="39"/>
      <c r="B42" s="39"/>
      <c r="C42" s="40"/>
      <c r="D42" s="45" t="s">
        <v>65</v>
      </c>
      <c r="E42" s="39"/>
      <c r="F42" s="39"/>
      <c r="G42" s="33"/>
      <c r="H42" s="33"/>
      <c r="I42" s="42">
        <v>1641.5</v>
      </c>
      <c r="J42" s="100">
        <v>0</v>
      </c>
      <c r="K42" s="100">
        <v>0</v>
      </c>
      <c r="L42" s="42">
        <v>700</v>
      </c>
      <c r="M42" s="42">
        <v>0</v>
      </c>
      <c r="N42" s="42"/>
      <c r="O42" s="70">
        <f t="shared" si="10"/>
        <v>2341.5</v>
      </c>
      <c r="P42" s="42">
        <v>1500</v>
      </c>
      <c r="Q42" s="82">
        <f t="shared" si="11"/>
        <v>-841.5</v>
      </c>
      <c r="S42" s="201"/>
    </row>
    <row r="43" spans="1:19" ht="13.5" customHeight="1" x14ac:dyDescent="0.3">
      <c r="A43" s="39"/>
      <c r="B43" s="39"/>
      <c r="C43" s="40"/>
      <c r="D43" s="45" t="s">
        <v>100</v>
      </c>
      <c r="E43" s="39"/>
      <c r="F43" s="39"/>
      <c r="G43" s="33"/>
      <c r="H43" s="33"/>
      <c r="I43" s="42">
        <v>807.64</v>
      </c>
      <c r="J43" s="100">
        <v>0</v>
      </c>
      <c r="K43" s="100">
        <v>0</v>
      </c>
      <c r="L43" s="42">
        <v>0</v>
      </c>
      <c r="M43" s="42">
        <v>0</v>
      </c>
      <c r="N43" s="42"/>
      <c r="O43" s="70">
        <f t="shared" si="10"/>
        <v>807.64</v>
      </c>
      <c r="P43" s="42">
        <v>1000</v>
      </c>
      <c r="Q43" s="82">
        <f t="shared" si="11"/>
        <v>192.36</v>
      </c>
      <c r="S43" s="201"/>
    </row>
    <row r="44" spans="1:19" ht="13.5" customHeight="1" x14ac:dyDescent="0.3">
      <c r="A44" s="39"/>
      <c r="B44" s="39"/>
      <c r="C44" s="40"/>
      <c r="D44" s="45" t="s">
        <v>167</v>
      </c>
      <c r="E44" s="39"/>
      <c r="F44" s="39"/>
      <c r="G44" s="33"/>
      <c r="H44" s="33"/>
      <c r="I44" s="42">
        <f>432</f>
        <v>432</v>
      </c>
      <c r="J44" s="100">
        <v>0</v>
      </c>
      <c r="K44" s="100">
        <v>0</v>
      </c>
      <c r="L44" s="42">
        <v>1000</v>
      </c>
      <c r="M44" s="42">
        <v>0</v>
      </c>
      <c r="N44" s="42"/>
      <c r="O44" s="70">
        <f t="shared" si="10"/>
        <v>1432</v>
      </c>
      <c r="P44" s="42">
        <v>2500</v>
      </c>
      <c r="Q44" s="82">
        <f t="shared" si="11"/>
        <v>1068</v>
      </c>
      <c r="S44" s="201"/>
    </row>
    <row r="45" spans="1:19" ht="13.5" customHeight="1" x14ac:dyDescent="0.3">
      <c r="A45" s="39"/>
      <c r="B45" s="39"/>
      <c r="C45" s="40"/>
      <c r="D45" s="45" t="s">
        <v>114</v>
      </c>
      <c r="E45" s="39"/>
      <c r="F45" s="39"/>
      <c r="G45" s="33"/>
      <c r="H45" s="33"/>
      <c r="I45" s="42">
        <v>0</v>
      </c>
      <c r="J45" s="100">
        <v>0</v>
      </c>
      <c r="K45" s="100">
        <v>0</v>
      </c>
      <c r="L45" s="42">
        <v>0</v>
      </c>
      <c r="M45" s="42">
        <v>0</v>
      </c>
      <c r="N45" s="42"/>
      <c r="O45" s="70">
        <f t="shared" ref="O45" si="12">SUM(I45:N45)</f>
        <v>0</v>
      </c>
      <c r="P45" s="42">
        <v>450</v>
      </c>
      <c r="Q45" s="82">
        <f t="shared" ref="Q45" si="13">P45-O45</f>
        <v>450</v>
      </c>
      <c r="S45" s="201"/>
    </row>
    <row r="46" spans="1:19" ht="13.5" customHeight="1" x14ac:dyDescent="0.3">
      <c r="A46" s="39"/>
      <c r="B46" s="39"/>
      <c r="C46" s="40"/>
      <c r="D46" s="45" t="s">
        <v>143</v>
      </c>
      <c r="E46" s="39"/>
      <c r="F46" s="39"/>
      <c r="G46" s="33"/>
      <c r="H46" s="33"/>
      <c r="I46" s="206">
        <v>0</v>
      </c>
      <c r="J46" s="269">
        <v>0</v>
      </c>
      <c r="K46" s="269">
        <v>0</v>
      </c>
      <c r="L46" s="206">
        <v>0</v>
      </c>
      <c r="M46" s="206">
        <v>0</v>
      </c>
      <c r="N46" s="206"/>
      <c r="O46" s="207">
        <f t="shared" si="10"/>
        <v>0</v>
      </c>
      <c r="P46" s="206">
        <v>750</v>
      </c>
      <c r="Q46" s="208">
        <f t="shared" si="11"/>
        <v>750</v>
      </c>
      <c r="S46" s="201"/>
    </row>
    <row r="47" spans="1:19" ht="6.75" customHeight="1" x14ac:dyDescent="0.3">
      <c r="A47" s="39"/>
      <c r="B47" s="39"/>
      <c r="C47" s="40"/>
      <c r="D47" s="45"/>
      <c r="E47" s="39"/>
      <c r="F47" s="39"/>
      <c r="G47" s="33"/>
      <c r="H47" s="33"/>
      <c r="I47" s="42"/>
      <c r="J47" s="100"/>
      <c r="K47" s="100"/>
      <c r="L47" s="42"/>
      <c r="M47" s="42"/>
      <c r="N47" s="42"/>
      <c r="O47" s="70"/>
      <c r="P47" s="50"/>
      <c r="Q47" s="82"/>
      <c r="S47" s="201"/>
    </row>
    <row r="48" spans="1:19" ht="13.5" customHeight="1" x14ac:dyDescent="0.3">
      <c r="A48" s="39"/>
      <c r="B48" s="39"/>
      <c r="C48" s="40" t="s">
        <v>115</v>
      </c>
      <c r="D48" s="45"/>
      <c r="E48" s="39"/>
      <c r="F48" s="39"/>
      <c r="G48" s="33"/>
      <c r="H48" s="33"/>
      <c r="I48" s="44">
        <f>SUM(I41:I47)</f>
        <v>6338.64</v>
      </c>
      <c r="J48" s="268">
        <f>SUM(J41:J47)</f>
        <v>0</v>
      </c>
      <c r="K48" s="268">
        <f>SUM(K41:K47)</f>
        <v>0</v>
      </c>
      <c r="L48" s="44">
        <f>SUM(L41:L47)</f>
        <v>1700</v>
      </c>
      <c r="M48" s="44">
        <f>SUM(M41:M47)</f>
        <v>0</v>
      </c>
      <c r="N48" s="44"/>
      <c r="O48" s="72">
        <f>SUM(O41:O47)</f>
        <v>8038.64</v>
      </c>
      <c r="P48" s="44">
        <f>SUM(P41:P47)</f>
        <v>9550</v>
      </c>
      <c r="Q48" s="84">
        <f>SUM(Q41:Q47)</f>
        <v>1511.3600000000001</v>
      </c>
      <c r="S48" s="100">
        <f>P48-O48</f>
        <v>1511.3599999999997</v>
      </c>
    </row>
    <row r="49" spans="1:19" ht="13.5" customHeight="1" x14ac:dyDescent="0.3">
      <c r="A49" s="39"/>
      <c r="B49" s="39"/>
      <c r="C49" s="40"/>
      <c r="D49" s="45"/>
      <c r="E49" s="39"/>
      <c r="F49" s="39"/>
      <c r="G49" s="33"/>
      <c r="H49" s="33"/>
      <c r="I49" s="42"/>
      <c r="J49" s="100"/>
      <c r="K49" s="100"/>
      <c r="L49" s="42"/>
      <c r="M49" s="42"/>
      <c r="N49" s="42"/>
      <c r="O49" s="70"/>
      <c r="P49" s="50"/>
      <c r="Q49" s="82"/>
      <c r="S49" s="201"/>
    </row>
    <row r="50" spans="1:19" ht="13.5" customHeight="1" x14ac:dyDescent="0.3">
      <c r="A50" s="39"/>
      <c r="B50" s="39"/>
      <c r="C50" s="51" t="s">
        <v>7</v>
      </c>
      <c r="D50" s="45"/>
      <c r="E50" s="39"/>
      <c r="F50" s="39"/>
      <c r="G50" s="33"/>
      <c r="H50" s="33"/>
      <c r="I50" s="42"/>
      <c r="J50" s="100"/>
      <c r="K50" s="100"/>
      <c r="L50" s="42"/>
      <c r="M50" s="42"/>
      <c r="N50" s="42"/>
      <c r="O50" s="70"/>
      <c r="P50" s="50"/>
      <c r="Q50" s="82"/>
      <c r="S50" s="201"/>
    </row>
    <row r="51" spans="1:19" ht="13.5" customHeight="1" x14ac:dyDescent="0.3">
      <c r="A51" s="39"/>
      <c r="B51" s="39"/>
      <c r="C51" s="45"/>
      <c r="D51" s="45" t="s">
        <v>59</v>
      </c>
      <c r="E51" s="39"/>
      <c r="F51" s="39"/>
      <c r="G51" s="33"/>
      <c r="H51" s="33"/>
      <c r="I51" s="42">
        <v>0</v>
      </c>
      <c r="J51" s="100">
        <v>0</v>
      </c>
      <c r="K51" s="100">
        <v>0</v>
      </c>
      <c r="L51" s="42">
        <v>0</v>
      </c>
      <c r="M51" s="42">
        <v>0</v>
      </c>
      <c r="N51" s="42"/>
      <c r="O51" s="70">
        <f t="shared" ref="O51:O58" si="14">SUM(I51:N51)</f>
        <v>0</v>
      </c>
      <c r="P51" s="42">
        <v>250</v>
      </c>
      <c r="Q51" s="82">
        <f t="shared" ref="Q51:Q58" si="15">P51-O51</f>
        <v>250</v>
      </c>
      <c r="S51" s="201"/>
    </row>
    <row r="52" spans="1:19" ht="13.5" customHeight="1" x14ac:dyDescent="0.3">
      <c r="A52" s="39"/>
      <c r="B52" s="39"/>
      <c r="C52" s="45"/>
      <c r="D52" s="48" t="s">
        <v>87</v>
      </c>
      <c r="E52" s="39"/>
      <c r="F52" s="39"/>
      <c r="G52" s="33"/>
      <c r="H52" s="33"/>
      <c r="I52" s="42">
        <v>300</v>
      </c>
      <c r="J52" s="100">
        <v>0</v>
      </c>
      <c r="K52" s="100">
        <v>0</v>
      </c>
      <c r="L52" s="42">
        <v>250</v>
      </c>
      <c r="M52" s="42">
        <v>300</v>
      </c>
      <c r="N52" s="42"/>
      <c r="O52" s="70">
        <f t="shared" si="14"/>
        <v>850</v>
      </c>
      <c r="P52" s="42">
        <v>3000</v>
      </c>
      <c r="Q52" s="82">
        <f t="shared" si="15"/>
        <v>2150</v>
      </c>
      <c r="S52" s="201"/>
    </row>
    <row r="53" spans="1:19" ht="13.5" customHeight="1" x14ac:dyDescent="0.3">
      <c r="A53" s="39"/>
      <c r="B53" s="39"/>
      <c r="C53" s="45"/>
      <c r="D53" s="45" t="s">
        <v>8</v>
      </c>
      <c r="E53" s="39"/>
      <c r="F53" s="39"/>
      <c r="G53" s="33"/>
      <c r="H53" s="33"/>
      <c r="I53" s="142">
        <f>12350+2609.43</f>
        <v>14959.43</v>
      </c>
      <c r="J53" s="100">
        <v>0</v>
      </c>
      <c r="K53" s="100">
        <v>0</v>
      </c>
      <c r="L53" s="42">
        <f>875*2</f>
        <v>1750</v>
      </c>
      <c r="M53" s="42">
        <f>L53</f>
        <v>1750</v>
      </c>
      <c r="N53" s="42"/>
      <c r="O53" s="70">
        <f t="shared" si="14"/>
        <v>18459.43</v>
      </c>
      <c r="P53" s="42">
        <v>17850</v>
      </c>
      <c r="Q53" s="82">
        <f t="shared" si="15"/>
        <v>-609.43000000000029</v>
      </c>
      <c r="S53" s="201"/>
    </row>
    <row r="54" spans="1:19" ht="13.5" customHeight="1" x14ac:dyDescent="0.3">
      <c r="A54" s="39"/>
      <c r="B54" s="39"/>
      <c r="C54" s="45"/>
      <c r="D54" s="33" t="s">
        <v>9</v>
      </c>
      <c r="E54" s="39"/>
      <c r="F54" s="39"/>
      <c r="G54" s="33"/>
      <c r="H54" s="33"/>
      <c r="I54" s="42">
        <v>0</v>
      </c>
      <c r="J54" s="100">
        <v>0</v>
      </c>
      <c r="K54" s="100">
        <v>0</v>
      </c>
      <c r="L54" s="42">
        <v>0</v>
      </c>
      <c r="M54" s="42">
        <v>0</v>
      </c>
      <c r="N54" s="42"/>
      <c r="O54" s="70">
        <f t="shared" si="14"/>
        <v>0</v>
      </c>
      <c r="P54" s="42">
        <v>350</v>
      </c>
      <c r="Q54" s="82">
        <f t="shared" si="15"/>
        <v>350</v>
      </c>
      <c r="S54" s="201"/>
    </row>
    <row r="55" spans="1:19" ht="13.5" customHeight="1" x14ac:dyDescent="0.3">
      <c r="A55" s="39"/>
      <c r="B55" s="39"/>
      <c r="C55" s="45"/>
      <c r="D55" s="45" t="s">
        <v>12</v>
      </c>
      <c r="E55" s="39"/>
      <c r="F55" s="39"/>
      <c r="G55" s="325" t="s">
        <v>187</v>
      </c>
      <c r="H55" s="324"/>
      <c r="I55" s="42">
        <v>455</v>
      </c>
      <c r="J55" s="100">
        <v>0</v>
      </c>
      <c r="K55" s="100">
        <v>0</v>
      </c>
      <c r="L55" s="42">
        <v>0</v>
      </c>
      <c r="M55" s="42">
        <v>0</v>
      </c>
      <c r="N55" s="42"/>
      <c r="O55" s="70">
        <f t="shared" si="14"/>
        <v>455</v>
      </c>
      <c r="P55" s="42">
        <v>1600</v>
      </c>
      <c r="Q55" s="82">
        <f t="shared" si="15"/>
        <v>1145</v>
      </c>
      <c r="S55" s="201"/>
    </row>
    <row r="56" spans="1:19" ht="13.5" customHeight="1" x14ac:dyDescent="0.3">
      <c r="A56" s="39"/>
      <c r="B56" s="39"/>
      <c r="C56" s="45"/>
      <c r="D56" s="45" t="s">
        <v>11</v>
      </c>
      <c r="E56" s="39"/>
      <c r="F56" s="39"/>
      <c r="G56" s="33"/>
      <c r="H56" s="33"/>
      <c r="I56" s="42">
        <v>5884.65</v>
      </c>
      <c r="J56" s="100">
        <v>0</v>
      </c>
      <c r="K56" s="100">
        <v>0</v>
      </c>
      <c r="L56" s="42">
        <v>1000</v>
      </c>
      <c r="M56" s="42">
        <v>1000</v>
      </c>
      <c r="N56" s="42"/>
      <c r="O56" s="70">
        <f t="shared" si="14"/>
        <v>7884.65</v>
      </c>
      <c r="P56" s="42">
        <v>7000</v>
      </c>
      <c r="Q56" s="82">
        <f t="shared" si="15"/>
        <v>-884.64999999999964</v>
      </c>
      <c r="S56" s="201"/>
    </row>
    <row r="57" spans="1:19" ht="13.5" customHeight="1" x14ac:dyDescent="0.3">
      <c r="A57" s="39"/>
      <c r="B57" s="39"/>
      <c r="C57" s="45"/>
      <c r="D57" s="45" t="s">
        <v>144</v>
      </c>
      <c r="E57" s="39"/>
      <c r="F57" s="39"/>
      <c r="G57" s="33"/>
      <c r="H57" s="33"/>
      <c r="I57" s="42">
        <v>281.45</v>
      </c>
      <c r="J57" s="100">
        <v>0</v>
      </c>
      <c r="K57" s="100">
        <v>0</v>
      </c>
      <c r="L57" s="42">
        <v>0</v>
      </c>
      <c r="M57" s="42">
        <v>0</v>
      </c>
      <c r="N57" s="42"/>
      <c r="O57" s="70">
        <f t="shared" ref="O57" si="16">SUM(I57:N57)</f>
        <v>281.45</v>
      </c>
      <c r="P57" s="42">
        <v>1250</v>
      </c>
      <c r="Q57" s="82">
        <f t="shared" ref="Q57" si="17">P57-O57</f>
        <v>968.55</v>
      </c>
      <c r="S57" s="201"/>
    </row>
    <row r="58" spans="1:19" ht="13.5" customHeight="1" x14ac:dyDescent="0.3">
      <c r="A58" s="39"/>
      <c r="B58" s="39"/>
      <c r="C58" s="45"/>
      <c r="D58" s="33" t="s">
        <v>10</v>
      </c>
      <c r="E58" s="39"/>
      <c r="F58" s="39"/>
      <c r="G58" s="33"/>
      <c r="H58" s="33"/>
      <c r="I58" s="206">
        <v>2660.58</v>
      </c>
      <c r="J58" s="100">
        <v>0</v>
      </c>
      <c r="K58" s="100">
        <v>0</v>
      </c>
      <c r="L58" s="42">
        <v>1000</v>
      </c>
      <c r="M58" s="42">
        <v>0</v>
      </c>
      <c r="N58" s="206"/>
      <c r="O58" s="207">
        <f t="shared" si="14"/>
        <v>3660.58</v>
      </c>
      <c r="P58" s="206">
        <v>1500</v>
      </c>
      <c r="Q58" s="208">
        <f t="shared" si="15"/>
        <v>-2160.58</v>
      </c>
      <c r="S58" s="201"/>
    </row>
    <row r="59" spans="1:19" ht="6.75" customHeight="1" x14ac:dyDescent="0.3">
      <c r="A59" s="39"/>
      <c r="B59" s="39"/>
      <c r="C59" s="45"/>
      <c r="D59" s="45"/>
      <c r="E59" s="39"/>
      <c r="F59" s="39"/>
      <c r="G59" s="33"/>
      <c r="H59" s="33"/>
      <c r="I59" s="42"/>
      <c r="J59" s="267"/>
      <c r="K59" s="267"/>
      <c r="L59" s="224"/>
      <c r="M59" s="224"/>
      <c r="N59" s="42"/>
      <c r="O59" s="70"/>
      <c r="P59" s="50"/>
      <c r="Q59" s="82"/>
      <c r="S59" s="201"/>
    </row>
    <row r="60" spans="1:19" ht="13.5" customHeight="1" x14ac:dyDescent="0.3">
      <c r="A60" s="39"/>
      <c r="B60" s="39"/>
      <c r="C60" s="47" t="s">
        <v>13</v>
      </c>
      <c r="D60" s="45"/>
      <c r="E60" s="39"/>
      <c r="F60" s="39"/>
      <c r="G60" s="33"/>
      <c r="H60" s="33"/>
      <c r="I60" s="44">
        <f>SUM(I51:I59)</f>
        <v>24541.11</v>
      </c>
      <c r="J60" s="268">
        <f t="shared" ref="J60:K60" si="18">SUM(J51:J59)</f>
        <v>0</v>
      </c>
      <c r="K60" s="268">
        <f t="shared" si="18"/>
        <v>0</v>
      </c>
      <c r="L60" s="44">
        <f t="shared" ref="L60:Q60" si="19">SUM(L51:L59)</f>
        <v>4000</v>
      </c>
      <c r="M60" s="44">
        <f t="shared" si="19"/>
        <v>3050</v>
      </c>
      <c r="N60" s="44"/>
      <c r="O60" s="72">
        <f t="shared" si="19"/>
        <v>31591.11</v>
      </c>
      <c r="P60" s="44">
        <f t="shared" si="19"/>
        <v>32800</v>
      </c>
      <c r="Q60" s="84">
        <f t="shared" si="19"/>
        <v>1208.8900000000003</v>
      </c>
      <c r="S60" s="100">
        <f>P60-O60</f>
        <v>1208.8899999999994</v>
      </c>
    </row>
    <row r="61" spans="1:19" ht="15" customHeight="1" x14ac:dyDescent="0.3">
      <c r="A61" s="39"/>
      <c r="B61" s="39"/>
      <c r="C61" s="40"/>
      <c r="D61" s="45"/>
      <c r="E61" s="39"/>
      <c r="F61" s="39"/>
      <c r="G61" s="33"/>
      <c r="H61" s="33"/>
      <c r="I61" s="42"/>
      <c r="J61" s="100"/>
      <c r="K61" s="100"/>
      <c r="L61" s="42"/>
      <c r="M61" s="42"/>
      <c r="N61" s="42"/>
      <c r="O61" s="70"/>
      <c r="P61" s="50"/>
      <c r="Q61" s="82"/>
      <c r="S61" s="201"/>
    </row>
    <row r="62" spans="1:19" ht="15" customHeight="1" x14ac:dyDescent="0.3">
      <c r="A62" s="39"/>
      <c r="B62" s="39"/>
      <c r="C62" s="47" t="s">
        <v>14</v>
      </c>
      <c r="D62" s="45"/>
      <c r="E62" s="39"/>
      <c r="F62" s="33"/>
      <c r="G62" s="33"/>
      <c r="H62" s="33"/>
      <c r="I62" s="42"/>
      <c r="J62" s="100"/>
      <c r="K62" s="100"/>
      <c r="L62" s="42"/>
      <c r="M62" s="42"/>
      <c r="N62" s="42"/>
      <c r="O62" s="70"/>
      <c r="P62" s="50"/>
      <c r="Q62" s="82"/>
      <c r="S62" s="201"/>
    </row>
    <row r="63" spans="1:19" ht="15" customHeight="1" x14ac:dyDescent="0.3">
      <c r="A63" s="39"/>
      <c r="B63" s="39"/>
      <c r="C63" s="39"/>
      <c r="D63" s="45" t="s">
        <v>15</v>
      </c>
      <c r="E63" s="39"/>
      <c r="F63" s="33"/>
      <c r="G63" s="33"/>
      <c r="H63" s="33"/>
      <c r="I63" s="42">
        <v>1716.7</v>
      </c>
      <c r="J63" s="100">
        <v>0</v>
      </c>
      <c r="K63" s="100">
        <v>0</v>
      </c>
      <c r="L63" s="42">
        <v>0</v>
      </c>
      <c r="M63" s="42">
        <v>125</v>
      </c>
      <c r="N63" s="42"/>
      <c r="O63" s="70">
        <f t="shared" ref="O63:O69" si="20">SUM(I63:N63)</f>
        <v>1841.7</v>
      </c>
      <c r="P63" s="42">
        <v>2250</v>
      </c>
      <c r="Q63" s="82">
        <f t="shared" ref="Q63:Q69" si="21">P63-O63</f>
        <v>408.29999999999995</v>
      </c>
      <c r="S63" s="201"/>
    </row>
    <row r="64" spans="1:19" ht="15" customHeight="1" x14ac:dyDescent="0.3">
      <c r="A64" s="39"/>
      <c r="B64" s="39"/>
      <c r="C64" s="39"/>
      <c r="D64" s="48" t="s">
        <v>76</v>
      </c>
      <c r="E64" s="39"/>
      <c r="F64" s="33"/>
      <c r="G64" s="33"/>
      <c r="H64" s="45"/>
      <c r="I64" s="42">
        <v>0</v>
      </c>
      <c r="J64" s="100">
        <v>0</v>
      </c>
      <c r="K64" s="100">
        <v>0</v>
      </c>
      <c r="L64" s="42">
        <v>0</v>
      </c>
      <c r="M64" s="42">
        <v>0</v>
      </c>
      <c r="N64" s="42"/>
      <c r="O64" s="70">
        <f t="shared" si="20"/>
        <v>0</v>
      </c>
      <c r="P64" s="42">
        <v>1200</v>
      </c>
      <c r="Q64" s="82">
        <f t="shared" si="21"/>
        <v>1200</v>
      </c>
      <c r="S64" s="201"/>
    </row>
    <row r="65" spans="1:19" ht="15" customHeight="1" x14ac:dyDescent="0.3">
      <c r="A65" s="39"/>
      <c r="B65" s="39"/>
      <c r="C65" s="39"/>
      <c r="D65" s="26"/>
      <c r="E65" s="47" t="s">
        <v>16</v>
      </c>
      <c r="F65" s="33"/>
      <c r="G65" s="33"/>
      <c r="H65" s="45"/>
      <c r="I65" s="42"/>
      <c r="J65" s="100">
        <v>0</v>
      </c>
      <c r="K65" s="100">
        <v>0</v>
      </c>
      <c r="L65" s="42"/>
      <c r="M65" s="42"/>
      <c r="N65" s="42"/>
      <c r="O65" s="70"/>
      <c r="P65" s="42"/>
      <c r="Q65" s="82"/>
      <c r="S65" s="201"/>
    </row>
    <row r="66" spans="1:19" ht="15" customHeight="1" x14ac:dyDescent="0.3">
      <c r="A66" s="39"/>
      <c r="B66" s="39"/>
      <c r="C66" s="39"/>
      <c r="D66" s="48"/>
      <c r="E66" s="26"/>
      <c r="F66" s="39" t="s">
        <v>116</v>
      </c>
      <c r="G66" s="33"/>
      <c r="H66" s="323"/>
      <c r="I66" s="42">
        <v>700</v>
      </c>
      <c r="J66" s="100">
        <v>0</v>
      </c>
      <c r="K66" s="100">
        <v>0</v>
      </c>
      <c r="L66" s="42">
        <v>150</v>
      </c>
      <c r="M66" s="42">
        <v>100</v>
      </c>
      <c r="N66" s="42"/>
      <c r="O66" s="70">
        <f t="shared" si="20"/>
        <v>950</v>
      </c>
      <c r="P66" s="42">
        <v>700</v>
      </c>
      <c r="Q66" s="82">
        <f t="shared" si="21"/>
        <v>-250</v>
      </c>
      <c r="S66" s="201"/>
    </row>
    <row r="67" spans="1:19" ht="15" customHeight="1" x14ac:dyDescent="0.3">
      <c r="A67" s="39"/>
      <c r="B67" s="39"/>
      <c r="C67" s="39"/>
      <c r="D67" s="48"/>
      <c r="E67" s="26"/>
      <c r="F67" s="39" t="s">
        <v>117</v>
      </c>
      <c r="G67" s="33"/>
      <c r="H67" s="45"/>
      <c r="I67" s="42">
        <v>1402.9</v>
      </c>
      <c r="J67" s="100">
        <v>0</v>
      </c>
      <c r="K67" s="100">
        <v>0</v>
      </c>
      <c r="L67" s="42">
        <v>0</v>
      </c>
      <c r="M67" s="42">
        <v>0</v>
      </c>
      <c r="N67" s="42"/>
      <c r="O67" s="70">
        <f t="shared" si="20"/>
        <v>1402.9</v>
      </c>
      <c r="P67" s="42">
        <v>360</v>
      </c>
      <c r="Q67" s="82">
        <f t="shared" si="21"/>
        <v>-1042.9000000000001</v>
      </c>
      <c r="S67" s="201"/>
    </row>
    <row r="68" spans="1:19" ht="15" customHeight="1" x14ac:dyDescent="0.3">
      <c r="A68" s="39"/>
      <c r="B68" s="39"/>
      <c r="C68" s="39"/>
      <c r="D68" s="48"/>
      <c r="E68" s="26"/>
      <c r="F68" s="39" t="s">
        <v>185</v>
      </c>
      <c r="G68" s="33"/>
      <c r="H68" s="45"/>
      <c r="I68" s="42">
        <v>1254.23</v>
      </c>
      <c r="J68" s="100">
        <v>0</v>
      </c>
      <c r="K68" s="100">
        <v>0</v>
      </c>
      <c r="L68" s="42">
        <v>0</v>
      </c>
      <c r="M68" s="42">
        <v>0</v>
      </c>
      <c r="N68" s="42"/>
      <c r="O68" s="70">
        <f t="shared" ref="O68" si="22">SUM(I68:N68)</f>
        <v>1254.23</v>
      </c>
      <c r="P68" s="42">
        <v>0</v>
      </c>
      <c r="Q68" s="82">
        <f t="shared" ref="Q68" si="23">P68-O68</f>
        <v>-1254.23</v>
      </c>
      <c r="S68" s="201"/>
    </row>
    <row r="69" spans="1:19" ht="15" customHeight="1" x14ac:dyDescent="0.3">
      <c r="A69" s="39"/>
      <c r="B69" s="39"/>
      <c r="C69" s="39"/>
      <c r="D69" s="48"/>
      <c r="E69" s="26"/>
      <c r="F69" s="45" t="s">
        <v>17</v>
      </c>
      <c r="G69" s="33"/>
      <c r="H69" s="45"/>
      <c r="I69" s="206">
        <v>7098.45</v>
      </c>
      <c r="J69" s="100">
        <v>0</v>
      </c>
      <c r="K69" s="100">
        <v>0</v>
      </c>
      <c r="L69" s="42">
        <v>0</v>
      </c>
      <c r="M69" s="42">
        <v>0</v>
      </c>
      <c r="N69" s="206"/>
      <c r="O69" s="207">
        <f t="shared" si="20"/>
        <v>7098.45</v>
      </c>
      <c r="P69" s="206">
        <v>10701</v>
      </c>
      <c r="Q69" s="208">
        <f t="shared" si="21"/>
        <v>3602.55</v>
      </c>
      <c r="S69" s="201"/>
    </row>
    <row r="70" spans="1:19" ht="6" customHeight="1" x14ac:dyDescent="0.3">
      <c r="A70" s="39"/>
      <c r="B70" s="39"/>
      <c r="C70" s="39"/>
      <c r="D70" s="48"/>
      <c r="E70" s="45"/>
      <c r="F70" s="33"/>
      <c r="G70" s="33"/>
      <c r="H70" s="45"/>
      <c r="I70" s="42"/>
      <c r="J70" s="267"/>
      <c r="K70" s="267"/>
      <c r="L70" s="224"/>
      <c r="M70" s="224"/>
      <c r="N70" s="42"/>
      <c r="O70" s="70"/>
      <c r="P70" s="50"/>
      <c r="Q70" s="82"/>
      <c r="S70" s="201"/>
    </row>
    <row r="71" spans="1:19" ht="15" customHeight="1" x14ac:dyDescent="0.3">
      <c r="A71" s="39"/>
      <c r="B71" s="39"/>
      <c r="C71" s="39"/>
      <c r="D71" s="48"/>
      <c r="E71" s="39"/>
      <c r="F71" s="47" t="s">
        <v>18</v>
      </c>
      <c r="G71" s="33"/>
      <c r="H71" s="45"/>
      <c r="I71" s="44">
        <f>SUM(I66:I70)</f>
        <v>10455.58</v>
      </c>
      <c r="J71" s="268">
        <f>SUM(J66:J70)</f>
        <v>0</v>
      </c>
      <c r="K71" s="268">
        <f>SUM(K66:K70)</f>
        <v>0</v>
      </c>
      <c r="L71" s="44">
        <f>SUM(L66:L70)</f>
        <v>150</v>
      </c>
      <c r="M71" s="44">
        <f>SUM(M66:M70)</f>
        <v>100</v>
      </c>
      <c r="N71" s="44"/>
      <c r="O71" s="72">
        <f>SUM(O66:O70)</f>
        <v>10705.58</v>
      </c>
      <c r="P71" s="44">
        <f>SUM(P66:P70)</f>
        <v>11761</v>
      </c>
      <c r="Q71" s="84">
        <f>SUM(Q66:Q70)</f>
        <v>1055.42</v>
      </c>
      <c r="S71" s="100">
        <f>P71-O71</f>
        <v>1055.42</v>
      </c>
    </row>
    <row r="72" spans="1:19" ht="15" customHeight="1" x14ac:dyDescent="0.3">
      <c r="A72" s="39"/>
      <c r="B72" s="39"/>
      <c r="C72" s="39"/>
      <c r="D72" s="26"/>
      <c r="E72" s="45" t="s">
        <v>74</v>
      </c>
      <c r="F72" s="47"/>
      <c r="G72" s="33"/>
      <c r="H72" s="45"/>
      <c r="I72" s="42">
        <v>20</v>
      </c>
      <c r="J72" s="100">
        <v>0</v>
      </c>
      <c r="K72" s="100">
        <v>0</v>
      </c>
      <c r="L72" s="42">
        <v>0</v>
      </c>
      <c r="M72" s="42">
        <v>0</v>
      </c>
      <c r="N72" s="42"/>
      <c r="O72" s="70">
        <f t="shared" ref="O72:O76" si="24">SUM(I72:N72)</f>
        <v>20</v>
      </c>
      <c r="P72" s="42">
        <v>150</v>
      </c>
      <c r="Q72" s="82">
        <f t="shared" ref="Q72:Q76" si="25">P72-O72</f>
        <v>130</v>
      </c>
      <c r="S72" s="100"/>
    </row>
    <row r="73" spans="1:19" ht="15" customHeight="1" x14ac:dyDescent="0.3">
      <c r="A73" s="39"/>
      <c r="B73" s="39"/>
      <c r="C73" s="39"/>
      <c r="D73" s="48"/>
      <c r="E73" s="45" t="s">
        <v>109</v>
      </c>
      <c r="F73" s="47"/>
      <c r="G73" s="33"/>
      <c r="H73" s="45"/>
      <c r="I73" s="42">
        <v>0</v>
      </c>
      <c r="J73" s="100">
        <v>0</v>
      </c>
      <c r="K73" s="100">
        <v>0</v>
      </c>
      <c r="L73" s="42">
        <v>120</v>
      </c>
      <c r="M73" s="42">
        <v>120</v>
      </c>
      <c r="N73" s="42"/>
      <c r="O73" s="70">
        <f t="shared" si="24"/>
        <v>240</v>
      </c>
      <c r="P73" s="42">
        <v>450</v>
      </c>
      <c r="Q73" s="82">
        <f t="shared" si="25"/>
        <v>210</v>
      </c>
      <c r="S73" s="201"/>
    </row>
    <row r="74" spans="1:19" ht="15" customHeight="1" x14ac:dyDescent="0.3">
      <c r="A74" s="39"/>
      <c r="B74" s="39"/>
      <c r="C74" s="39"/>
      <c r="D74" s="48"/>
      <c r="E74" s="45" t="s">
        <v>60</v>
      </c>
      <c r="F74" s="47"/>
      <c r="G74" s="33"/>
      <c r="H74" s="45"/>
      <c r="I74" s="42">
        <v>1500</v>
      </c>
      <c r="J74" s="100">
        <v>0</v>
      </c>
      <c r="K74" s="100">
        <v>0</v>
      </c>
      <c r="L74" s="42">
        <v>0</v>
      </c>
      <c r="M74" s="42">
        <v>0</v>
      </c>
      <c r="N74" s="42"/>
      <c r="O74" s="70">
        <f t="shared" si="24"/>
        <v>1500</v>
      </c>
      <c r="P74" s="42">
        <v>350</v>
      </c>
      <c r="Q74" s="82">
        <f t="shared" si="25"/>
        <v>-1150</v>
      </c>
      <c r="S74" s="201"/>
    </row>
    <row r="75" spans="1:19" ht="15" customHeight="1" x14ac:dyDescent="0.3">
      <c r="A75" s="39"/>
      <c r="B75" s="39"/>
      <c r="C75" s="39"/>
      <c r="D75" s="48"/>
      <c r="E75" s="45" t="s">
        <v>19</v>
      </c>
      <c r="F75" s="47"/>
      <c r="G75" s="33"/>
      <c r="H75" s="45"/>
      <c r="I75" s="42">
        <v>1055</v>
      </c>
      <c r="J75" s="100">
        <v>0</v>
      </c>
      <c r="K75" s="100">
        <v>0</v>
      </c>
      <c r="L75" s="42">
        <v>0</v>
      </c>
      <c r="M75" s="42">
        <v>150</v>
      </c>
      <c r="N75" s="42"/>
      <c r="O75" s="70">
        <f t="shared" si="24"/>
        <v>1205</v>
      </c>
      <c r="P75" s="42">
        <v>2250</v>
      </c>
      <c r="Q75" s="82">
        <f t="shared" si="25"/>
        <v>1045</v>
      </c>
      <c r="S75" s="201"/>
    </row>
    <row r="76" spans="1:19" ht="15" customHeight="1" x14ac:dyDescent="0.3">
      <c r="A76" s="39"/>
      <c r="B76" s="39"/>
      <c r="C76" s="39"/>
      <c r="D76" s="26"/>
      <c r="E76" s="45" t="s">
        <v>20</v>
      </c>
      <c r="F76" s="33"/>
      <c r="G76" s="33"/>
      <c r="H76" s="33"/>
      <c r="I76" s="206">
        <v>2608.41</v>
      </c>
      <c r="J76" s="100">
        <v>0</v>
      </c>
      <c r="K76" s="100">
        <v>0</v>
      </c>
      <c r="L76" s="42">
        <v>100</v>
      </c>
      <c r="M76" s="42">
        <v>0</v>
      </c>
      <c r="N76" s="206"/>
      <c r="O76" s="207">
        <f t="shared" si="24"/>
        <v>2708.41</v>
      </c>
      <c r="P76" s="206">
        <v>250</v>
      </c>
      <c r="Q76" s="208">
        <f t="shared" si="25"/>
        <v>-2458.41</v>
      </c>
      <c r="S76" s="201"/>
    </row>
    <row r="77" spans="1:19" ht="6.75" customHeight="1" x14ac:dyDescent="0.3">
      <c r="A77" s="39"/>
      <c r="B77" s="39"/>
      <c r="C77" s="39"/>
      <c r="D77" s="26"/>
      <c r="E77" s="39"/>
      <c r="F77" s="33"/>
      <c r="G77" s="33"/>
      <c r="H77" s="33"/>
      <c r="I77" s="42"/>
      <c r="J77" s="267"/>
      <c r="K77" s="267"/>
      <c r="L77" s="224"/>
      <c r="M77" s="224"/>
      <c r="N77" s="42"/>
      <c r="O77" s="70"/>
      <c r="P77" s="50"/>
      <c r="Q77" s="82"/>
      <c r="S77" s="201"/>
    </row>
    <row r="78" spans="1:19" ht="15" customHeight="1" x14ac:dyDescent="0.3">
      <c r="A78" s="39"/>
      <c r="B78" s="39"/>
      <c r="C78" s="39"/>
      <c r="D78" s="47" t="s">
        <v>21</v>
      </c>
      <c r="E78" s="39"/>
      <c r="F78" s="33"/>
      <c r="G78" s="33"/>
      <c r="H78" s="33"/>
      <c r="I78" s="44">
        <f>SUM(I63:I64,I71:I76)</f>
        <v>17355.690000000002</v>
      </c>
      <c r="J78" s="268">
        <f>SUM(J63:J64,J71:J76)</f>
        <v>0</v>
      </c>
      <c r="K78" s="268">
        <f>SUM(K63:K64,K71:K76)</f>
        <v>0</v>
      </c>
      <c r="L78" s="44">
        <f>SUM(L63:L64,L71:L76)</f>
        <v>370</v>
      </c>
      <c r="M78" s="44">
        <f>SUM(M63:M64,M71:M76)</f>
        <v>495</v>
      </c>
      <c r="N78" s="44"/>
      <c r="O78" s="72">
        <f>SUM(O63:O64,O71:O76)</f>
        <v>18220.690000000002</v>
      </c>
      <c r="P78" s="44">
        <f>SUM(P63:P64,P71:P76)</f>
        <v>18661</v>
      </c>
      <c r="Q78" s="84">
        <f>SUM(Q63:Q64,Q71:Q76)</f>
        <v>440.3100000000004</v>
      </c>
      <c r="S78" s="100">
        <f>P78-O78</f>
        <v>440.30999999999767</v>
      </c>
    </row>
    <row r="79" spans="1:19" ht="15" customHeight="1" x14ac:dyDescent="0.3">
      <c r="A79" s="39"/>
      <c r="B79" s="39"/>
      <c r="C79" s="39"/>
      <c r="D79" s="26"/>
      <c r="E79" s="39"/>
      <c r="F79" s="33"/>
      <c r="G79" s="33"/>
      <c r="H79" s="33"/>
      <c r="I79" s="42"/>
      <c r="J79" s="100"/>
      <c r="K79" s="100"/>
      <c r="L79" s="42"/>
      <c r="M79" s="42"/>
      <c r="N79" s="42"/>
      <c r="O79" s="70"/>
      <c r="P79" s="50"/>
      <c r="Q79" s="82"/>
      <c r="S79" s="201"/>
    </row>
    <row r="80" spans="1:19" ht="13.5" customHeight="1" x14ac:dyDescent="0.3">
      <c r="A80" s="39"/>
      <c r="B80" s="39"/>
      <c r="C80" s="39"/>
      <c r="D80" s="47" t="s">
        <v>62</v>
      </c>
      <c r="E80" s="39"/>
      <c r="F80" s="39"/>
      <c r="G80" s="33"/>
      <c r="H80" s="33"/>
      <c r="I80" s="46"/>
      <c r="J80" s="100"/>
      <c r="K80" s="100"/>
      <c r="L80" s="46"/>
      <c r="M80" s="46"/>
      <c r="N80" s="46"/>
      <c r="O80" s="70"/>
      <c r="P80" s="50"/>
      <c r="Q80" s="82"/>
      <c r="S80" s="201"/>
    </row>
    <row r="81" spans="1:21" ht="13.5" customHeight="1" x14ac:dyDescent="0.3">
      <c r="A81" s="39"/>
      <c r="B81" s="39"/>
      <c r="C81" s="39"/>
      <c r="D81" s="45"/>
      <c r="E81" s="45" t="s">
        <v>68</v>
      </c>
      <c r="F81" s="39"/>
      <c r="G81" s="33"/>
      <c r="H81" s="33"/>
      <c r="I81" s="42">
        <v>9852.11</v>
      </c>
      <c r="J81" s="100">
        <v>0</v>
      </c>
      <c r="K81" s="100">
        <v>0</v>
      </c>
      <c r="L81" s="42">
        <v>984.5</v>
      </c>
      <c r="M81" s="42">
        <v>984.5</v>
      </c>
      <c r="N81" s="42"/>
      <c r="O81" s="70">
        <f>SUM(I81:N81)</f>
        <v>11821.11</v>
      </c>
      <c r="P81" s="42">
        <v>11820</v>
      </c>
      <c r="Q81" s="82">
        <f t="shared" ref="Q81:Q85" si="26">P81-O81</f>
        <v>-1.1100000000005821</v>
      </c>
      <c r="S81" s="201"/>
    </row>
    <row r="82" spans="1:21" ht="13.5" customHeight="1" x14ac:dyDescent="0.3">
      <c r="A82" s="39"/>
      <c r="B82" s="39"/>
      <c r="C82" s="39"/>
      <c r="D82" s="45"/>
      <c r="E82" s="45" t="s">
        <v>62</v>
      </c>
      <c r="F82" s="39"/>
      <c r="G82" s="33"/>
      <c r="H82" s="33"/>
      <c r="I82" s="42">
        <v>1014.89</v>
      </c>
      <c r="J82" s="100">
        <v>0</v>
      </c>
      <c r="K82" s="100">
        <v>0</v>
      </c>
      <c r="L82" s="42">
        <v>0</v>
      </c>
      <c r="M82" s="42">
        <v>0</v>
      </c>
      <c r="N82" s="42"/>
      <c r="O82" s="70">
        <f>SUM(I82:N82)</f>
        <v>1014.89</v>
      </c>
      <c r="P82" s="42">
        <v>0</v>
      </c>
      <c r="Q82" s="82">
        <f t="shared" ref="Q82" si="27">P82-O82</f>
        <v>-1014.89</v>
      </c>
      <c r="S82" s="201"/>
    </row>
    <row r="83" spans="1:21" ht="13.5" customHeight="1" x14ac:dyDescent="0.3">
      <c r="A83" s="39"/>
      <c r="B83" s="39"/>
      <c r="C83" s="39"/>
      <c r="D83" s="45"/>
      <c r="E83" s="45" t="s">
        <v>69</v>
      </c>
      <c r="F83" s="39"/>
      <c r="G83" s="33"/>
      <c r="H83" s="33"/>
      <c r="I83" s="42">
        <v>219.9</v>
      </c>
      <c r="J83" s="100">
        <v>0</v>
      </c>
      <c r="K83" s="100">
        <v>0</v>
      </c>
      <c r="L83" s="42">
        <v>0</v>
      </c>
      <c r="M83" s="42">
        <v>0</v>
      </c>
      <c r="N83" s="42"/>
      <c r="O83" s="70">
        <f>SUM(I83:N83)</f>
        <v>219.9</v>
      </c>
      <c r="P83" s="42">
        <v>300</v>
      </c>
      <c r="Q83" s="82">
        <f t="shared" si="26"/>
        <v>80.099999999999994</v>
      </c>
      <c r="S83" s="201"/>
    </row>
    <row r="84" spans="1:21" ht="13.5" customHeight="1" x14ac:dyDescent="0.3">
      <c r="A84" s="39"/>
      <c r="B84" s="39"/>
      <c r="C84" s="39"/>
      <c r="D84" s="45"/>
      <c r="E84" s="45" t="s">
        <v>70</v>
      </c>
      <c r="F84" s="39"/>
      <c r="G84" s="33"/>
      <c r="H84" s="137">
        <v>0.1</v>
      </c>
      <c r="I84" s="42">
        <v>788.28</v>
      </c>
      <c r="J84" s="100">
        <v>0</v>
      </c>
      <c r="K84" s="100">
        <f>IFERROR($H$84*SUM(K104:K106), 0)+0</f>
        <v>0</v>
      </c>
      <c r="L84" s="50">
        <f>IFERROR($H$84*SUM(L104:L106), 0)+0</f>
        <v>0</v>
      </c>
      <c r="M84" s="50">
        <f>IFERROR($H$84*SUM(M104:M106), 0)+0</f>
        <v>0</v>
      </c>
      <c r="N84" s="50"/>
      <c r="O84" s="70">
        <f>SUM(I84:N84)</f>
        <v>788.28</v>
      </c>
      <c r="P84" s="42">
        <v>225</v>
      </c>
      <c r="Q84" s="82">
        <f t="shared" si="26"/>
        <v>-563.28</v>
      </c>
      <c r="S84" s="201"/>
    </row>
    <row r="85" spans="1:21" ht="13.5" customHeight="1" x14ac:dyDescent="0.3">
      <c r="A85" s="39"/>
      <c r="B85" s="39"/>
      <c r="C85" s="39"/>
      <c r="D85" s="45"/>
      <c r="E85" s="45" t="s">
        <v>71</v>
      </c>
      <c r="F85" s="39"/>
      <c r="G85" s="33"/>
      <c r="H85" s="33"/>
      <c r="I85" s="42">
        <v>1950</v>
      </c>
      <c r="J85" s="100">
        <v>0</v>
      </c>
      <c r="K85" s="100">
        <v>0</v>
      </c>
      <c r="L85" s="42">
        <v>150</v>
      </c>
      <c r="M85" s="42">
        <v>0</v>
      </c>
      <c r="N85" s="42"/>
      <c r="O85" s="70">
        <f>SUM(I85:N85)</f>
        <v>2100</v>
      </c>
      <c r="P85" s="42">
        <v>600</v>
      </c>
      <c r="Q85" s="82">
        <f t="shared" si="26"/>
        <v>-1500</v>
      </c>
      <c r="S85" s="201"/>
    </row>
    <row r="86" spans="1:21" ht="6.75" customHeight="1" x14ac:dyDescent="0.3">
      <c r="A86" s="39"/>
      <c r="B86" s="39"/>
      <c r="C86" s="39"/>
      <c r="D86" s="45"/>
      <c r="E86" s="45"/>
      <c r="F86" s="39"/>
      <c r="G86" s="33"/>
      <c r="H86" s="33"/>
      <c r="I86" s="43"/>
      <c r="J86" s="267"/>
      <c r="K86" s="267"/>
      <c r="L86" s="43"/>
      <c r="M86" s="43"/>
      <c r="N86" s="43"/>
      <c r="O86" s="71"/>
      <c r="P86" s="43"/>
      <c r="Q86" s="83"/>
      <c r="S86" s="201"/>
    </row>
    <row r="87" spans="1:21" ht="13.5" customHeight="1" x14ac:dyDescent="0.3">
      <c r="A87" s="39"/>
      <c r="B87" s="39"/>
      <c r="C87" s="39"/>
      <c r="D87" s="47" t="s">
        <v>118</v>
      </c>
      <c r="E87" s="39"/>
      <c r="F87" s="39"/>
      <c r="G87" s="33"/>
      <c r="H87" s="33"/>
      <c r="I87" s="44">
        <f>SUM(I81:I86)</f>
        <v>13825.18</v>
      </c>
      <c r="J87" s="268">
        <f>SUM(J81:J86)</f>
        <v>0</v>
      </c>
      <c r="K87" s="268">
        <f>SUM(K81:K86)</f>
        <v>0</v>
      </c>
      <c r="L87" s="44">
        <f>SUM(L81:L86)</f>
        <v>1134.5</v>
      </c>
      <c r="M87" s="44">
        <f>SUM(M81:M86)</f>
        <v>984.5</v>
      </c>
      <c r="N87" s="44"/>
      <c r="O87" s="72">
        <f>SUM(O81:O86)</f>
        <v>15944.18</v>
      </c>
      <c r="P87" s="44">
        <f>SUM(P81:P86)</f>
        <v>12945</v>
      </c>
      <c r="Q87" s="84">
        <f>SUM(Q81:Q86)</f>
        <v>-2999.1800000000003</v>
      </c>
      <c r="R87" s="33"/>
      <c r="S87" s="100">
        <f>P87-O87</f>
        <v>-2999.1800000000003</v>
      </c>
    </row>
    <row r="88" spans="1:21" ht="13.5" customHeight="1" x14ac:dyDescent="0.3">
      <c r="A88" s="39"/>
      <c r="B88" s="39"/>
      <c r="C88" s="39"/>
      <c r="D88" s="45"/>
      <c r="E88" s="39"/>
      <c r="F88" s="39"/>
      <c r="G88" s="33"/>
      <c r="H88" s="33"/>
      <c r="I88" s="46"/>
      <c r="J88" s="100"/>
      <c r="K88" s="100"/>
      <c r="L88" s="46"/>
      <c r="M88" s="46"/>
      <c r="N88" s="46"/>
      <c r="O88" s="70"/>
      <c r="P88" s="46"/>
      <c r="Q88" s="82"/>
      <c r="S88" s="201"/>
    </row>
    <row r="89" spans="1:21" ht="13.5" customHeight="1" x14ac:dyDescent="0.3">
      <c r="A89" s="39"/>
      <c r="B89" s="39"/>
      <c r="C89" s="39"/>
      <c r="D89" s="47" t="s">
        <v>24</v>
      </c>
      <c r="E89" s="45"/>
      <c r="F89" s="39"/>
      <c r="G89" s="33"/>
      <c r="H89" s="33"/>
      <c r="I89" s="46"/>
      <c r="J89" s="100"/>
      <c r="K89" s="100"/>
      <c r="L89" s="46"/>
      <c r="M89" s="46"/>
      <c r="N89" s="46"/>
      <c r="O89" s="70"/>
      <c r="P89" s="46"/>
      <c r="Q89" s="82"/>
      <c r="S89" s="201"/>
    </row>
    <row r="90" spans="1:21" ht="13.5" customHeight="1" x14ac:dyDescent="0.3">
      <c r="A90" s="39"/>
      <c r="B90" s="39"/>
      <c r="C90" s="39"/>
      <c r="D90" s="47"/>
      <c r="E90" s="33" t="s">
        <v>183</v>
      </c>
      <c r="F90" s="39"/>
      <c r="G90" s="33"/>
      <c r="H90" s="33"/>
      <c r="I90" s="42">
        <v>254.67</v>
      </c>
      <c r="J90" s="100">
        <v>0</v>
      </c>
      <c r="K90" s="100">
        <v>0</v>
      </c>
      <c r="L90" s="42">
        <v>0</v>
      </c>
      <c r="M90" s="42">
        <v>0</v>
      </c>
      <c r="N90" s="46"/>
      <c r="O90" s="70">
        <f t="shared" ref="O90" si="28">SUM(I90:N90)</f>
        <v>254.67</v>
      </c>
      <c r="P90" s="42">
        <v>960</v>
      </c>
      <c r="Q90" s="82">
        <f t="shared" ref="Q90" si="29">P90-O90</f>
        <v>705.33</v>
      </c>
      <c r="S90" s="201"/>
    </row>
    <row r="91" spans="1:21" ht="13.5" customHeight="1" x14ac:dyDescent="0.3">
      <c r="A91" s="39"/>
      <c r="B91" s="39"/>
      <c r="C91" s="39"/>
      <c r="D91" s="47"/>
      <c r="E91" s="33" t="s">
        <v>186</v>
      </c>
      <c r="F91" s="39"/>
      <c r="G91" s="33"/>
      <c r="H91" s="33"/>
      <c r="I91" s="42">
        <v>564.23</v>
      </c>
      <c r="J91" s="100"/>
      <c r="K91" s="100"/>
      <c r="L91" s="42">
        <v>80</v>
      </c>
      <c r="M91" s="42">
        <v>80</v>
      </c>
      <c r="N91" s="46"/>
      <c r="O91" s="70">
        <f t="shared" ref="O91" si="30">SUM(I91:N91)</f>
        <v>724.23</v>
      </c>
      <c r="P91" s="42">
        <v>0</v>
      </c>
      <c r="Q91" s="82">
        <f t="shared" ref="Q91" si="31">P91-O91</f>
        <v>-724.23</v>
      </c>
      <c r="S91" s="201"/>
    </row>
    <row r="92" spans="1:21" ht="13.5" customHeight="1" x14ac:dyDescent="0.3">
      <c r="A92" s="39"/>
      <c r="B92" s="39"/>
      <c r="C92" s="39"/>
      <c r="D92" s="47"/>
      <c r="E92" s="33" t="s">
        <v>25</v>
      </c>
      <c r="F92" s="39"/>
      <c r="G92" s="33"/>
      <c r="H92" s="33"/>
      <c r="I92" s="42">
        <v>288.14999999999998</v>
      </c>
      <c r="J92" s="100">
        <v>0</v>
      </c>
      <c r="K92" s="100">
        <v>0</v>
      </c>
      <c r="L92" s="42">
        <f>K92</f>
        <v>0</v>
      </c>
      <c r="M92" s="42">
        <f>L92</f>
        <v>0</v>
      </c>
      <c r="N92" s="46"/>
      <c r="O92" s="70">
        <f t="shared" ref="O92:O94" si="32">SUM(I92:N92)</f>
        <v>288.14999999999998</v>
      </c>
      <c r="P92" s="42">
        <v>393</v>
      </c>
      <c r="Q92" s="82">
        <f t="shared" ref="Q92:Q94" si="33">P92-O92</f>
        <v>104.85000000000002</v>
      </c>
      <c r="S92" s="201"/>
      <c r="U92" s="320"/>
    </row>
    <row r="93" spans="1:21" ht="13.5" customHeight="1" x14ac:dyDescent="0.3">
      <c r="A93" s="39"/>
      <c r="B93" s="39"/>
      <c r="C93" s="39"/>
      <c r="D93" s="39"/>
      <c r="E93" s="45" t="s">
        <v>26</v>
      </c>
      <c r="F93" s="39"/>
      <c r="G93" s="33"/>
      <c r="H93" s="33"/>
      <c r="I93" s="42">
        <v>2924.5</v>
      </c>
      <c r="J93" s="100">
        <v>0</v>
      </c>
      <c r="K93" s="100">
        <v>0</v>
      </c>
      <c r="L93" s="42">
        <v>350</v>
      </c>
      <c r="M93" s="42">
        <v>350</v>
      </c>
      <c r="N93" s="46"/>
      <c r="O93" s="70">
        <f t="shared" si="32"/>
        <v>3624.5</v>
      </c>
      <c r="P93" s="42">
        <v>3605</v>
      </c>
      <c r="Q93" s="82">
        <f t="shared" si="33"/>
        <v>-19.5</v>
      </c>
      <c r="S93" s="201"/>
    </row>
    <row r="94" spans="1:21" ht="13.5" customHeight="1" x14ac:dyDescent="0.3">
      <c r="A94" s="39"/>
      <c r="B94" s="39"/>
      <c r="C94" s="39"/>
      <c r="D94" s="39"/>
      <c r="E94" s="45" t="s">
        <v>72</v>
      </c>
      <c r="F94" s="39"/>
      <c r="G94" s="33"/>
      <c r="H94" s="33"/>
      <c r="I94" s="206">
        <v>12130.55</v>
      </c>
      <c r="J94" s="269">
        <v>0</v>
      </c>
      <c r="K94" s="269">
        <v>0</v>
      </c>
      <c r="L94" s="206">
        <v>350</v>
      </c>
      <c r="M94" s="206">
        <v>300</v>
      </c>
      <c r="N94" s="210"/>
      <c r="O94" s="207">
        <f t="shared" si="32"/>
        <v>12780.55</v>
      </c>
      <c r="P94" s="206">
        <v>13900</v>
      </c>
      <c r="Q94" s="208">
        <f t="shared" si="33"/>
        <v>1119.4500000000007</v>
      </c>
      <c r="S94" s="201"/>
    </row>
    <row r="95" spans="1:21" ht="6" customHeight="1" x14ac:dyDescent="0.3">
      <c r="A95" s="39"/>
      <c r="B95" s="39"/>
      <c r="C95" s="39"/>
      <c r="D95" s="39"/>
      <c r="E95" s="45"/>
      <c r="F95" s="39"/>
      <c r="G95" s="33"/>
      <c r="H95" s="33"/>
      <c r="I95" s="46"/>
      <c r="J95" s="100"/>
      <c r="K95" s="100"/>
      <c r="L95" s="46"/>
      <c r="M95" s="46"/>
      <c r="N95" s="46"/>
      <c r="O95" s="70"/>
      <c r="P95" s="46"/>
      <c r="Q95" s="82"/>
      <c r="S95" s="201"/>
    </row>
    <row r="96" spans="1:21" ht="13.5" customHeight="1" x14ac:dyDescent="0.3">
      <c r="A96" s="39"/>
      <c r="B96" s="39"/>
      <c r="C96" s="39"/>
      <c r="D96" s="47" t="s">
        <v>27</v>
      </c>
      <c r="E96" s="45"/>
      <c r="F96" s="39"/>
      <c r="G96" s="33"/>
      <c r="H96" s="33"/>
      <c r="I96" s="44">
        <f>SUM(I89:I95)</f>
        <v>16162.099999999999</v>
      </c>
      <c r="J96" s="268">
        <f>SUM(J89:J95)</f>
        <v>0</v>
      </c>
      <c r="K96" s="268">
        <f>SUM(K89:K95)</f>
        <v>0</v>
      </c>
      <c r="L96" s="44">
        <f>SUM(L89:L95)</f>
        <v>780</v>
      </c>
      <c r="M96" s="44">
        <f>SUM(M89:M95)</f>
        <v>730</v>
      </c>
      <c r="N96" s="44"/>
      <c r="O96" s="72">
        <f>SUM(O89:O95)</f>
        <v>17672.099999999999</v>
      </c>
      <c r="P96" s="44">
        <f>SUM(P89:P95)</f>
        <v>18858</v>
      </c>
      <c r="Q96" s="84">
        <f>SUM(Q89:Q95)</f>
        <v>1185.9000000000008</v>
      </c>
      <c r="S96" s="100">
        <f>P96-O96</f>
        <v>1185.9000000000015</v>
      </c>
    </row>
    <row r="97" spans="1:22" ht="13.5" customHeight="1" x14ac:dyDescent="0.3">
      <c r="A97" s="39"/>
      <c r="B97" s="39"/>
      <c r="C97" s="39"/>
      <c r="D97" s="45"/>
      <c r="E97" s="39"/>
      <c r="F97" s="39"/>
      <c r="G97" s="33"/>
      <c r="H97" s="33"/>
      <c r="I97" s="46"/>
      <c r="J97" s="100"/>
      <c r="K97" s="100"/>
      <c r="L97" s="46"/>
      <c r="M97" s="46"/>
      <c r="N97" s="46"/>
      <c r="O97" s="70"/>
      <c r="P97" s="46"/>
      <c r="Q97" s="82"/>
      <c r="S97" s="201"/>
    </row>
    <row r="98" spans="1:22" ht="13.5" customHeight="1" x14ac:dyDescent="0.3">
      <c r="A98" s="39"/>
      <c r="B98" s="39"/>
      <c r="C98" s="47" t="s">
        <v>28</v>
      </c>
      <c r="D98" s="33"/>
      <c r="E98" s="45"/>
      <c r="F98" s="39"/>
      <c r="G98" s="33"/>
      <c r="H98" s="33"/>
      <c r="I98" s="44">
        <f>I38+I48+I60+I78+I87+I96</f>
        <v>99234.800000000017</v>
      </c>
      <c r="J98" s="268">
        <f>J38+J48+J60+J78+J87+J96</f>
        <v>0</v>
      </c>
      <c r="K98" s="268">
        <f>K38+K48+K60+K78+K87+K96</f>
        <v>0</v>
      </c>
      <c r="L98" s="44">
        <f>L38+L48+L60+L78+L87+L96</f>
        <v>9385.5</v>
      </c>
      <c r="M98" s="44">
        <f>M38+M48+M60+M78+M87+M96</f>
        <v>6710.5</v>
      </c>
      <c r="N98" s="44"/>
      <c r="O98" s="72">
        <f>O38+O48+O60+O78+O87+O96</f>
        <v>115330.80000000002</v>
      </c>
      <c r="P98" s="44">
        <f>P38+P48+P60+P78+P87+P96</f>
        <v>118434</v>
      </c>
      <c r="Q98" s="84">
        <f>Q38+Q48+Q60+Q78+Q87+Q96</f>
        <v>3103.2000000000007</v>
      </c>
      <c r="R98" s="33"/>
      <c r="S98" s="100">
        <f>P98-O98</f>
        <v>3103.1999999999825</v>
      </c>
    </row>
    <row r="99" spans="1:22" ht="13.5" customHeight="1" x14ac:dyDescent="0.3">
      <c r="A99" s="39"/>
      <c r="B99" s="39"/>
      <c r="C99" s="39"/>
      <c r="D99" s="45"/>
      <c r="E99" s="45"/>
      <c r="F99" s="39"/>
      <c r="G99" s="33"/>
      <c r="H99" s="33"/>
      <c r="I99" s="50"/>
      <c r="J99" s="100"/>
      <c r="K99" s="100"/>
      <c r="L99" s="50"/>
      <c r="M99" s="50"/>
      <c r="N99" s="50"/>
      <c r="O99" s="70"/>
      <c r="P99" s="50"/>
      <c r="Q99" s="82"/>
      <c r="R99" s="33"/>
      <c r="S99" s="201"/>
    </row>
    <row r="100" spans="1:22" ht="13.5" customHeight="1" x14ac:dyDescent="0.3">
      <c r="A100" s="39"/>
      <c r="B100" s="47" t="s">
        <v>107</v>
      </c>
      <c r="C100" s="33"/>
      <c r="D100" s="45"/>
      <c r="E100" s="45"/>
      <c r="F100" s="39"/>
      <c r="G100" s="33"/>
      <c r="H100" s="33"/>
      <c r="I100" s="138">
        <f>I22-I98</f>
        <v>19751.789999999979</v>
      </c>
      <c r="J100" s="270">
        <f>J22-J98</f>
        <v>0</v>
      </c>
      <c r="K100" s="270">
        <f>K22-K98</f>
        <v>0</v>
      </c>
      <c r="L100" s="138">
        <f>L22-L98</f>
        <v>-1304.3841937499992</v>
      </c>
      <c r="M100" s="138">
        <f>M22-M98</f>
        <v>4372.3440595429693</v>
      </c>
      <c r="N100" s="211"/>
      <c r="O100" s="138">
        <f>O22-O98</f>
        <v>22819.749865792954</v>
      </c>
      <c r="P100" s="138">
        <f>P22-P98</f>
        <v>18723</v>
      </c>
      <c r="Q100" s="212">
        <f>Q98+Q22</f>
        <v>4096.7498657929773</v>
      </c>
      <c r="S100" s="100">
        <f>O100-P100</f>
        <v>4096.7498657929536</v>
      </c>
    </row>
    <row r="101" spans="1:22" ht="13.5" customHeight="1" x14ac:dyDescent="0.3">
      <c r="A101" s="39"/>
      <c r="B101" s="39"/>
      <c r="C101" s="39"/>
      <c r="D101" s="45"/>
      <c r="E101" s="45"/>
      <c r="F101" s="39"/>
      <c r="G101" s="33"/>
      <c r="H101" s="33"/>
      <c r="I101" s="46"/>
      <c r="J101" s="100"/>
      <c r="K101" s="100"/>
      <c r="L101" s="46"/>
      <c r="M101" s="46"/>
      <c r="N101" s="46"/>
      <c r="O101" s="70"/>
      <c r="P101" s="46"/>
      <c r="Q101" s="82"/>
      <c r="S101" s="194"/>
    </row>
    <row r="102" spans="1:22" ht="13.5" customHeight="1" x14ac:dyDescent="0.3">
      <c r="A102" s="39"/>
      <c r="B102" s="39"/>
      <c r="C102" s="47" t="s">
        <v>123</v>
      </c>
      <c r="D102" s="45"/>
      <c r="E102" s="45"/>
      <c r="F102" s="39"/>
      <c r="G102" s="33"/>
      <c r="H102" s="33"/>
      <c r="I102" s="46"/>
      <c r="J102" s="100"/>
      <c r="K102" s="100"/>
      <c r="L102" s="46"/>
      <c r="M102" s="46"/>
      <c r="N102" s="46"/>
      <c r="O102" s="70"/>
      <c r="P102" s="46"/>
      <c r="Q102" s="82"/>
      <c r="S102" s="201"/>
    </row>
    <row r="103" spans="1:22" ht="13.5" customHeight="1" x14ac:dyDescent="0.3">
      <c r="A103" s="39"/>
      <c r="B103" s="39"/>
      <c r="C103" s="39"/>
      <c r="D103" s="47" t="s">
        <v>75</v>
      </c>
      <c r="E103" s="39"/>
      <c r="F103" s="33"/>
      <c r="G103" s="26"/>
      <c r="H103" s="33"/>
      <c r="I103" s="46"/>
      <c r="J103" s="100"/>
      <c r="K103" s="100"/>
      <c r="L103" s="46"/>
      <c r="M103" s="46"/>
      <c r="N103" s="46"/>
      <c r="O103" s="70"/>
      <c r="P103" s="46"/>
      <c r="Q103" s="82"/>
      <c r="S103" s="201"/>
      <c r="V103" s="52"/>
    </row>
    <row r="104" spans="1:22" ht="13.5" customHeight="1" x14ac:dyDescent="0.3">
      <c r="A104" s="39"/>
      <c r="B104" s="39"/>
      <c r="C104" s="39"/>
      <c r="D104" s="45"/>
      <c r="E104" s="171" t="s">
        <v>190</v>
      </c>
      <c r="F104" s="45"/>
      <c r="G104" s="26"/>
      <c r="H104" s="33"/>
      <c r="I104" s="142">
        <f>2591+3866+1600</f>
        <v>8057</v>
      </c>
      <c r="J104" s="100">
        <v>0</v>
      </c>
      <c r="K104" s="100">
        <v>0</v>
      </c>
      <c r="L104" s="42">
        <v>0</v>
      </c>
      <c r="M104" s="42">
        <v>0</v>
      </c>
      <c r="N104" s="42"/>
      <c r="O104" s="70">
        <f>SUM(I104:N104)</f>
        <v>8057</v>
      </c>
      <c r="P104" s="42">
        <v>23500</v>
      </c>
      <c r="Q104" s="82">
        <f t="shared" ref="Q104:Q106" si="34">P104-O104</f>
        <v>15443</v>
      </c>
      <c r="S104" s="201"/>
      <c r="V104" s="52"/>
    </row>
    <row r="105" spans="1:22" ht="13.5" customHeight="1" x14ac:dyDescent="0.3">
      <c r="A105" s="39"/>
      <c r="B105" s="39"/>
      <c r="C105" s="39"/>
      <c r="D105" s="45"/>
      <c r="E105" s="143" t="s">
        <v>98</v>
      </c>
      <c r="F105" s="33"/>
      <c r="G105" s="26"/>
      <c r="H105" s="33"/>
      <c r="I105" s="42">
        <v>0</v>
      </c>
      <c r="J105" s="100">
        <v>0</v>
      </c>
      <c r="K105" s="100">
        <v>0</v>
      </c>
      <c r="L105" s="42">
        <v>0</v>
      </c>
      <c r="M105" s="42">
        <v>0</v>
      </c>
      <c r="N105" s="42"/>
      <c r="O105" s="70">
        <f>SUM(I105:N105)</f>
        <v>0</v>
      </c>
      <c r="P105" s="42">
        <v>0</v>
      </c>
      <c r="Q105" s="82">
        <f t="shared" si="34"/>
        <v>0</v>
      </c>
      <c r="S105" s="201"/>
      <c r="V105" s="52"/>
    </row>
    <row r="106" spans="1:22" ht="13.5" customHeight="1" x14ac:dyDescent="0.3">
      <c r="A106" s="39"/>
      <c r="B106" s="39"/>
      <c r="C106" s="39"/>
      <c r="D106" s="45"/>
      <c r="E106" s="171" t="s">
        <v>189</v>
      </c>
      <c r="F106" s="33"/>
      <c r="G106" s="26"/>
      <c r="H106" s="33"/>
      <c r="I106" s="42">
        <v>0</v>
      </c>
      <c r="J106" s="100">
        <v>0</v>
      </c>
      <c r="K106" s="100">
        <v>0</v>
      </c>
      <c r="L106" s="42">
        <v>0</v>
      </c>
      <c r="M106" s="42">
        <v>0</v>
      </c>
      <c r="N106" s="42"/>
      <c r="O106" s="70">
        <f>SUM(I106:N106)</f>
        <v>0</v>
      </c>
      <c r="P106" s="42">
        <v>0</v>
      </c>
      <c r="Q106" s="82">
        <f t="shared" si="34"/>
        <v>0</v>
      </c>
      <c r="S106" s="201"/>
    </row>
    <row r="107" spans="1:22" ht="13.5" customHeight="1" x14ac:dyDescent="0.3">
      <c r="A107" s="39"/>
      <c r="B107" s="39"/>
      <c r="C107" s="33"/>
      <c r="D107" s="47" t="s">
        <v>119</v>
      </c>
      <c r="E107" s="45"/>
      <c r="F107" s="39"/>
      <c r="G107" s="33"/>
      <c r="H107" s="33"/>
      <c r="I107" s="49">
        <f>SUM(I104:I106)</f>
        <v>8057</v>
      </c>
      <c r="J107" s="271">
        <f t="shared" ref="J107:K107" si="35">SUM(J104:J106)</f>
        <v>0</v>
      </c>
      <c r="K107" s="271">
        <f t="shared" si="35"/>
        <v>0</v>
      </c>
      <c r="L107" s="49">
        <f>SUM(L104:L106)</f>
        <v>0</v>
      </c>
      <c r="M107" s="49">
        <f>SUM(M104:M106)</f>
        <v>0</v>
      </c>
      <c r="N107" s="49"/>
      <c r="O107" s="73">
        <f>SUM(O104:O106)</f>
        <v>8057</v>
      </c>
      <c r="P107" s="49">
        <f>SUM(P104:P106)</f>
        <v>23500</v>
      </c>
      <c r="Q107" s="85">
        <f>SUM(Q104:Q106)</f>
        <v>15443</v>
      </c>
      <c r="R107" s="33"/>
      <c r="S107" s="100">
        <f>O107-P107</f>
        <v>-15443</v>
      </c>
    </row>
    <row r="108" spans="1:22" ht="13.5" customHeight="1" x14ac:dyDescent="0.3">
      <c r="A108" s="39"/>
      <c r="B108" s="39"/>
      <c r="C108" s="39"/>
      <c r="D108" s="45"/>
      <c r="E108" s="45"/>
      <c r="F108" s="39"/>
      <c r="G108" s="33"/>
      <c r="H108" s="33"/>
      <c r="I108" s="50"/>
      <c r="J108" s="100"/>
      <c r="K108" s="100"/>
      <c r="L108" s="50"/>
      <c r="M108" s="50"/>
      <c r="N108" s="50"/>
      <c r="O108" s="70"/>
      <c r="P108" s="50"/>
      <c r="Q108" s="82"/>
      <c r="R108" s="33"/>
      <c r="S108" s="201"/>
    </row>
    <row r="109" spans="1:22" ht="19.5" customHeight="1" x14ac:dyDescent="0.3">
      <c r="A109" s="39"/>
      <c r="B109" s="47" t="s">
        <v>108</v>
      </c>
      <c r="C109" s="45"/>
      <c r="D109" s="45"/>
      <c r="E109" s="45"/>
      <c r="F109" s="39"/>
      <c r="G109" s="33"/>
      <c r="H109" s="33"/>
      <c r="I109" s="138">
        <f>I100-I107</f>
        <v>11694.789999999979</v>
      </c>
      <c r="J109" s="270">
        <f t="shared" ref="J109:K109" si="36">J100-J107</f>
        <v>0</v>
      </c>
      <c r="K109" s="270">
        <f t="shared" si="36"/>
        <v>0</v>
      </c>
      <c r="L109" s="138">
        <f>L100-L107</f>
        <v>-1304.3841937499992</v>
      </c>
      <c r="M109" s="138">
        <f>M100-M107</f>
        <v>4372.3440595429693</v>
      </c>
      <c r="N109" s="138"/>
      <c r="O109" s="139">
        <f>O100-O107</f>
        <v>14762.749865792954</v>
      </c>
      <c r="P109" s="138">
        <f>P100-P107</f>
        <v>-4777</v>
      </c>
      <c r="Q109" s="212">
        <f>Q107+Q100</f>
        <v>19539.749865792975</v>
      </c>
      <c r="R109" s="33"/>
      <c r="S109" s="100">
        <f>O109-P109</f>
        <v>19539.749865792954</v>
      </c>
      <c r="U109" s="54"/>
    </row>
    <row r="110" spans="1:22" ht="13.5" customHeight="1" x14ac:dyDescent="0.3">
      <c r="A110" s="39"/>
      <c r="B110" s="39"/>
      <c r="C110" s="39"/>
      <c r="D110" s="45"/>
      <c r="E110" s="45"/>
      <c r="F110" s="45"/>
      <c r="G110" s="39"/>
      <c r="H110" s="33"/>
      <c r="I110" s="53">
        <f>11694.66-I109</f>
        <v>-0.12999999997919076</v>
      </c>
      <c r="J110" s="100"/>
      <c r="K110" s="100"/>
      <c r="L110" s="50"/>
      <c r="M110" s="50"/>
      <c r="N110" s="50"/>
      <c r="O110" s="70"/>
      <c r="P110" s="53">
        <f>'2023 Budget'!U107-P109</f>
        <v>-1.2919753187452443</v>
      </c>
      <c r="Q110" s="176"/>
      <c r="R110" s="33"/>
      <c r="S110" s="194"/>
    </row>
    <row r="111" spans="1:22" ht="13.5" customHeight="1" x14ac:dyDescent="0.3">
      <c r="A111" s="39"/>
      <c r="B111" s="39"/>
      <c r="C111" s="39"/>
      <c r="D111" s="45"/>
      <c r="E111" s="45"/>
      <c r="F111" s="45"/>
      <c r="G111" s="39"/>
      <c r="H111" s="33"/>
      <c r="I111" s="53"/>
      <c r="J111" s="100"/>
      <c r="K111" s="100"/>
      <c r="L111" s="50"/>
      <c r="M111" s="50"/>
      <c r="N111" s="50"/>
      <c r="O111" s="70"/>
      <c r="P111" s="53"/>
      <c r="Q111" s="176"/>
      <c r="R111" s="33"/>
      <c r="S111" s="194"/>
    </row>
    <row r="112" spans="1:22" ht="13.5" customHeight="1" x14ac:dyDescent="0.3">
      <c r="A112" s="39"/>
      <c r="B112" s="39"/>
      <c r="C112" s="39" t="s">
        <v>129</v>
      </c>
      <c r="D112" s="45"/>
      <c r="E112" s="45"/>
      <c r="F112" s="45"/>
      <c r="G112" s="39"/>
      <c r="H112" s="33"/>
      <c r="I112" s="142">
        <f>849.88+846.52+840.44+835.76</f>
        <v>3372.6000000000004</v>
      </c>
      <c r="J112" s="100">
        <v>0</v>
      </c>
      <c r="K112" s="100">
        <v>0</v>
      </c>
      <c r="L112" s="50">
        <f t="shared" ref="L112:M112" si="37">L127</f>
        <v>0</v>
      </c>
      <c r="M112" s="50">
        <f t="shared" si="37"/>
        <v>0</v>
      </c>
      <c r="N112" s="50"/>
      <c r="O112" s="70">
        <f>SUM(I112:N112)</f>
        <v>3372.6000000000004</v>
      </c>
      <c r="P112" s="42">
        <v>4230</v>
      </c>
      <c r="Q112" s="82">
        <f t="shared" ref="Q112" si="38">P112-O112</f>
        <v>857.39999999999964</v>
      </c>
      <c r="S112" s="201"/>
    </row>
    <row r="113" spans="1:19" ht="13.5" customHeight="1" x14ac:dyDescent="0.3">
      <c r="A113" s="39"/>
      <c r="B113" s="39"/>
      <c r="C113" s="39"/>
      <c r="D113" s="45"/>
      <c r="E113" s="45"/>
      <c r="F113" s="45"/>
      <c r="G113" s="39"/>
      <c r="H113" s="33"/>
      <c r="I113" s="53"/>
      <c r="J113" s="100"/>
      <c r="K113" s="100"/>
      <c r="L113" s="50"/>
      <c r="M113" s="50"/>
      <c r="N113" s="50"/>
      <c r="O113" s="70"/>
      <c r="P113" s="53"/>
      <c r="Q113" s="176"/>
      <c r="R113" s="33"/>
      <c r="S113" s="194"/>
    </row>
    <row r="114" spans="1:19" ht="13.5" customHeight="1" thickBot="1" x14ac:dyDescent="0.35">
      <c r="A114" s="39"/>
      <c r="B114" s="45"/>
      <c r="C114" s="45"/>
      <c r="D114" s="47" t="s">
        <v>162</v>
      </c>
      <c r="E114" s="45"/>
      <c r="F114" s="45"/>
      <c r="G114" s="39"/>
      <c r="H114" s="33"/>
      <c r="I114" s="252">
        <f>I109-I112</f>
        <v>8322.1899999999787</v>
      </c>
      <c r="J114" s="272">
        <f t="shared" ref="J114:K114" si="39">J109-J112</f>
        <v>0</v>
      </c>
      <c r="K114" s="272">
        <f t="shared" si="39"/>
        <v>0</v>
      </c>
      <c r="L114" s="252">
        <f t="shared" ref="L114:M114" si="40">L109-L112</f>
        <v>-1304.3841937499992</v>
      </c>
      <c r="M114" s="252">
        <f t="shared" si="40"/>
        <v>4372.3440595429693</v>
      </c>
      <c r="N114" s="253"/>
      <c r="O114" s="254">
        <f>SUM(I114:N114)</f>
        <v>11390.149865792948</v>
      </c>
      <c r="P114" s="252">
        <f t="shared" ref="P114" si="41">P109-P112</f>
        <v>-9007</v>
      </c>
      <c r="Q114" s="255">
        <f t="shared" ref="Q114" si="42">O114-P114</f>
        <v>20397.149865792948</v>
      </c>
    </row>
    <row r="115" spans="1:19" ht="13.5" customHeight="1" thickTop="1" x14ac:dyDescent="0.3">
      <c r="A115" s="39"/>
      <c r="B115" s="45"/>
      <c r="C115" s="45"/>
      <c r="D115" s="45"/>
      <c r="E115" s="45"/>
      <c r="F115" s="45"/>
      <c r="G115" s="39"/>
      <c r="H115" s="33"/>
      <c r="I115" s="46"/>
      <c r="J115" s="100"/>
      <c r="K115" s="100"/>
      <c r="L115" s="46"/>
      <c r="M115" s="46"/>
      <c r="N115" s="46"/>
      <c r="O115" s="70"/>
      <c r="P115" s="101"/>
      <c r="Q115" s="218"/>
    </row>
    <row r="116" spans="1:19" x14ac:dyDescent="0.3">
      <c r="A116" s="5"/>
      <c r="B116" s="5"/>
      <c r="C116" s="5"/>
      <c r="D116" s="5"/>
      <c r="E116" s="11"/>
      <c r="F116" s="5"/>
      <c r="G116" s="5"/>
      <c r="H116" s="33"/>
      <c r="I116" s="5"/>
      <c r="J116" s="199"/>
      <c r="K116" s="199"/>
      <c r="L116" s="5"/>
      <c r="M116" s="5"/>
      <c r="N116" s="54"/>
      <c r="O116" s="91"/>
      <c r="Q116" s="219"/>
    </row>
    <row r="117" spans="1:19" x14ac:dyDescent="0.3">
      <c r="A117" s="56" t="s">
        <v>45</v>
      </c>
      <c r="B117" s="5"/>
      <c r="C117" s="5"/>
      <c r="D117" s="5"/>
      <c r="E117" s="57"/>
      <c r="F117" s="5"/>
      <c r="G117" s="5"/>
      <c r="H117" s="33"/>
      <c r="I117" s="333" t="s">
        <v>181</v>
      </c>
      <c r="J117" s="199"/>
      <c r="K117" s="199"/>
      <c r="L117" s="5"/>
      <c r="M117" s="5"/>
      <c r="N117" s="54"/>
      <c r="O117" s="91"/>
      <c r="Q117" s="219"/>
    </row>
    <row r="118" spans="1:19" x14ac:dyDescent="0.3">
      <c r="A118" s="5"/>
      <c r="B118" s="7" t="s">
        <v>46</v>
      </c>
      <c r="C118" s="5"/>
      <c r="D118" s="5"/>
      <c r="E118" s="5"/>
      <c r="F118" s="5"/>
      <c r="G118" s="5"/>
      <c r="H118" s="33"/>
      <c r="I118" s="326">
        <v>12605.6</v>
      </c>
      <c r="J118" s="273">
        <f t="shared" ref="J118" si="43">I118-J114</f>
        <v>12605.6</v>
      </c>
      <c r="K118" s="273">
        <f>J118+K114</f>
        <v>12605.6</v>
      </c>
      <c r="L118" s="173">
        <f>K118+L114</f>
        <v>11301.215806250002</v>
      </c>
      <c r="M118" s="173">
        <f>L118+M114</f>
        <v>15673.559865792971</v>
      </c>
      <c r="N118" s="89"/>
      <c r="O118" s="92">
        <f>M118</f>
        <v>15673.559865792971</v>
      </c>
      <c r="P118" s="215">
        <v>-188.55</v>
      </c>
      <c r="Q118" s="82">
        <f>O118-P118</f>
        <v>15862.109865792971</v>
      </c>
    </row>
    <row r="119" spans="1:19" x14ac:dyDescent="0.3">
      <c r="A119" s="5"/>
      <c r="B119" s="61" t="s">
        <v>77</v>
      </c>
      <c r="C119" s="5"/>
      <c r="D119" s="58"/>
      <c r="E119" s="5"/>
      <c r="F119" s="5"/>
      <c r="G119" s="5"/>
      <c r="H119" s="33"/>
      <c r="I119" s="214">
        <v>12478.27</v>
      </c>
      <c r="J119" s="274">
        <f t="shared" ref="J119:L119" si="44">+I119</f>
        <v>12478.27</v>
      </c>
      <c r="K119" s="274">
        <f t="shared" si="44"/>
        <v>12478.27</v>
      </c>
      <c r="L119" s="89">
        <f t="shared" si="44"/>
        <v>12478.27</v>
      </c>
      <c r="M119" s="89">
        <f>+L119</f>
        <v>12478.27</v>
      </c>
      <c r="N119" s="89"/>
      <c r="O119" s="92">
        <f>M119</f>
        <v>12478.27</v>
      </c>
      <c r="P119" s="214">
        <v>12380</v>
      </c>
      <c r="Q119" s="82">
        <f>O119-P119</f>
        <v>98.270000000000437</v>
      </c>
    </row>
    <row r="120" spans="1:19" ht="9" customHeight="1" x14ac:dyDescent="0.3">
      <c r="A120" s="5"/>
      <c r="B120" s="5"/>
      <c r="C120" s="5"/>
      <c r="D120" s="5"/>
      <c r="E120" s="5"/>
      <c r="F120" s="5"/>
      <c r="G120" s="5"/>
      <c r="H120" s="33"/>
      <c r="I120" s="198"/>
      <c r="J120" s="198"/>
      <c r="K120" s="198"/>
      <c r="L120" s="59"/>
      <c r="M120" s="59"/>
      <c r="N120" s="59"/>
      <c r="O120" s="93"/>
      <c r="P120" s="59"/>
      <c r="Q120" s="220"/>
    </row>
    <row r="121" spans="1:19" ht="14.4" thickBot="1" x14ac:dyDescent="0.35">
      <c r="A121" s="5"/>
      <c r="B121" s="5"/>
      <c r="C121" s="5"/>
      <c r="D121" s="10"/>
      <c r="E121" s="5"/>
      <c r="F121" s="5"/>
      <c r="G121" s="5"/>
      <c r="H121" s="278">
        <f>I121</f>
        <v>25083.870000000003</v>
      </c>
      <c r="I121" s="213">
        <f>SUM(I117:I120)</f>
        <v>25083.870000000003</v>
      </c>
      <c r="J121" s="275">
        <f t="shared" ref="J121:K121" si="45">SUM(J117:J120)</f>
        <v>25083.870000000003</v>
      </c>
      <c r="K121" s="275">
        <f t="shared" si="45"/>
        <v>25083.870000000003</v>
      </c>
      <c r="L121" s="12">
        <f>SUM(L117:L120)</f>
        <v>23779.485806250002</v>
      </c>
      <c r="M121" s="12">
        <f>SUM(M117:M120)</f>
        <v>28151.82986579297</v>
      </c>
      <c r="N121" s="12"/>
      <c r="O121" s="94">
        <f>SUM(O117:O120)</f>
        <v>28151.82986579297</v>
      </c>
      <c r="P121" s="12">
        <f>SUM(P117:P120)</f>
        <v>12191.45</v>
      </c>
      <c r="Q121" s="221">
        <f>Q119+Q118</f>
        <v>15960.379865792971</v>
      </c>
    </row>
    <row r="122" spans="1:19" ht="14.4" thickTop="1" x14ac:dyDescent="0.3">
      <c r="E122" s="5"/>
      <c r="F122" s="5"/>
      <c r="G122" s="5"/>
      <c r="H122" s="33"/>
      <c r="I122" s="199"/>
      <c r="J122" s="199"/>
      <c r="K122" s="199"/>
      <c r="L122" s="5"/>
      <c r="M122" s="5"/>
      <c r="N122" s="5"/>
      <c r="O122" s="95"/>
      <c r="P122" s="277">
        <f>P121-'2023 Budget'!U120</f>
        <v>0.23815436809491075</v>
      </c>
      <c r="Q122" s="222"/>
    </row>
    <row r="123" spans="1:19" x14ac:dyDescent="0.3">
      <c r="E123" s="5"/>
      <c r="F123" s="5"/>
      <c r="G123" s="5"/>
      <c r="H123" s="33"/>
      <c r="I123" s="200"/>
      <c r="J123" s="199"/>
      <c r="K123" s="199"/>
      <c r="L123" s="5"/>
      <c r="M123" s="5"/>
      <c r="N123" s="5"/>
      <c r="O123" s="107"/>
      <c r="P123" s="108"/>
      <c r="Q123" s="108"/>
    </row>
    <row r="124" spans="1:19" x14ac:dyDescent="0.3">
      <c r="H124" s="201"/>
      <c r="I124" s="201"/>
      <c r="J124" s="201"/>
      <c r="K124" s="201"/>
      <c r="P124" s="102"/>
      <c r="Q124" s="5"/>
    </row>
    <row r="125" spans="1:19" outlineLevel="1" x14ac:dyDescent="0.3">
      <c r="A125" s="106" t="s">
        <v>80</v>
      </c>
      <c r="H125" s="201"/>
      <c r="I125" s="201"/>
      <c r="J125" s="201"/>
      <c r="K125" s="201"/>
      <c r="P125" s="251"/>
      <c r="Q125" s="60"/>
    </row>
    <row r="126" spans="1:19" outlineLevel="1" x14ac:dyDescent="0.3">
      <c r="B126" s="25" t="s">
        <v>81</v>
      </c>
      <c r="H126" s="201"/>
      <c r="I126" s="74"/>
      <c r="J126" s="269">
        <f t="shared" ref="J126:L126" si="46">I131</f>
        <v>0</v>
      </c>
      <c r="K126" s="269">
        <f t="shared" si="46"/>
        <v>0</v>
      </c>
      <c r="L126" s="74">
        <f t="shared" si="46"/>
        <v>0</v>
      </c>
      <c r="M126" s="74">
        <f>L131</f>
        <v>0</v>
      </c>
      <c r="O126" s="42"/>
      <c r="P126" s="26"/>
      <c r="Q126" s="53"/>
    </row>
    <row r="127" spans="1:19" outlineLevel="1" x14ac:dyDescent="0.3">
      <c r="C127" s="110" t="s">
        <v>84</v>
      </c>
      <c r="H127" s="201"/>
      <c r="I127" s="50"/>
      <c r="J127" s="100">
        <f t="shared" ref="J127:K127" si="47">J129-J128</f>
        <v>0</v>
      </c>
      <c r="K127" s="100">
        <f t="shared" si="47"/>
        <v>0</v>
      </c>
      <c r="L127" s="50">
        <f>L129-L128</f>
        <v>0</v>
      </c>
      <c r="M127" s="50">
        <f>M129-M128</f>
        <v>0</v>
      </c>
      <c r="O127" s="42"/>
    </row>
    <row r="128" spans="1:19" outlineLevel="1" x14ac:dyDescent="0.3">
      <c r="C128" s="110" t="s">
        <v>83</v>
      </c>
      <c r="F128" s="109"/>
      <c r="G128" s="328">
        <v>6.5000000000000002E-2</v>
      </c>
      <c r="H128" s="202"/>
      <c r="I128" s="111"/>
      <c r="J128" s="276">
        <v>0</v>
      </c>
      <c r="K128" s="276">
        <v>0</v>
      </c>
      <c r="L128" s="111">
        <f t="shared" ref="L128:M128" si="48">($G128*31/364)*L126</f>
        <v>0</v>
      </c>
      <c r="M128" s="111">
        <f t="shared" si="48"/>
        <v>0</v>
      </c>
      <c r="O128" s="42"/>
    </row>
    <row r="129" spans="3:15" outlineLevel="1" x14ac:dyDescent="0.3">
      <c r="D129" s="25" t="s">
        <v>85</v>
      </c>
      <c r="H129" s="201"/>
      <c r="I129" s="42">
        <v>0</v>
      </c>
      <c r="J129" s="100">
        <f>I129*0</f>
        <v>0</v>
      </c>
      <c r="K129" s="100">
        <f>I129*0</f>
        <v>0</v>
      </c>
      <c r="L129" s="50">
        <f t="shared" ref="L129" si="49">K129</f>
        <v>0</v>
      </c>
      <c r="M129" s="50">
        <f>L129</f>
        <v>0</v>
      </c>
      <c r="O129" s="42"/>
    </row>
    <row r="130" spans="3:15" outlineLevel="1" x14ac:dyDescent="0.3">
      <c r="C130" s="25" t="s">
        <v>82</v>
      </c>
      <c r="H130" s="203"/>
      <c r="I130" s="42">
        <v>0</v>
      </c>
      <c r="J130" s="100">
        <v>0</v>
      </c>
      <c r="K130" s="100">
        <v>0</v>
      </c>
      <c r="L130" s="42">
        <v>0</v>
      </c>
      <c r="M130" s="42">
        <v>0</v>
      </c>
      <c r="O130" s="42"/>
    </row>
    <row r="131" spans="3:15" outlineLevel="1" x14ac:dyDescent="0.3">
      <c r="D131" s="110" t="s">
        <v>86</v>
      </c>
      <c r="H131" s="204"/>
      <c r="I131" s="327">
        <v>0</v>
      </c>
      <c r="J131" s="271">
        <f t="shared" ref="J131:K131" si="50">J126+J130-J127</f>
        <v>0</v>
      </c>
      <c r="K131" s="271">
        <f t="shared" si="50"/>
        <v>0</v>
      </c>
      <c r="L131" s="49">
        <f>L126+L130-L127</f>
        <v>0</v>
      </c>
      <c r="M131" s="49">
        <f>M126+M130-M127</f>
        <v>0</v>
      </c>
      <c r="O131" s="42"/>
    </row>
    <row r="132" spans="3:15" outlineLevel="1" x14ac:dyDescent="0.3">
      <c r="H132" s="201"/>
      <c r="I132" s="100"/>
      <c r="J132" s="100"/>
      <c r="K132" s="100"/>
      <c r="L132" s="42"/>
      <c r="M132" s="42"/>
      <c r="O132" s="42"/>
    </row>
    <row r="133" spans="3:15" outlineLevel="1" x14ac:dyDescent="0.3">
      <c r="H133" s="202"/>
      <c r="I133" s="42">
        <v>30</v>
      </c>
      <c r="J133" s="100">
        <v>30</v>
      </c>
      <c r="K133" s="100">
        <v>31</v>
      </c>
      <c r="L133" s="42">
        <v>30</v>
      </c>
      <c r="M133" s="42">
        <v>31</v>
      </c>
      <c r="O133" s="42"/>
    </row>
    <row r="134" spans="3:15" x14ac:dyDescent="0.3">
      <c r="H134" s="109"/>
      <c r="I134" s="109"/>
      <c r="J134" s="42"/>
      <c r="K134" s="100"/>
      <c r="L134" s="42"/>
      <c r="M134" s="42"/>
      <c r="N134" s="42"/>
      <c r="O134" s="42"/>
    </row>
    <row r="135" spans="3:15" x14ac:dyDescent="0.3">
      <c r="H135" s="109"/>
      <c r="I135" s="178"/>
      <c r="J135" s="42"/>
      <c r="K135" s="100"/>
      <c r="L135" s="42"/>
      <c r="M135" s="42"/>
      <c r="N135" s="42"/>
      <c r="O135" s="42"/>
    </row>
    <row r="136" spans="3:15" x14ac:dyDescent="0.3">
      <c r="H136" s="109"/>
      <c r="I136" s="177"/>
      <c r="K136" s="201"/>
    </row>
    <row r="138" spans="3:15" x14ac:dyDescent="0.3">
      <c r="I138" s="25"/>
      <c r="J138" s="25"/>
      <c r="K138" s="25"/>
    </row>
    <row r="139" spans="3:15" x14ac:dyDescent="0.3">
      <c r="I139" s="25"/>
      <c r="J139" s="25"/>
      <c r="K139" s="25"/>
    </row>
    <row r="140" spans="3:15" x14ac:dyDescent="0.3">
      <c r="I140" s="25"/>
      <c r="J140" s="25"/>
      <c r="K140" s="25"/>
    </row>
    <row r="141" spans="3:15" x14ac:dyDescent="0.3">
      <c r="I141" s="25"/>
      <c r="J141" s="25"/>
      <c r="K141" s="25"/>
    </row>
    <row r="142" spans="3:15" x14ac:dyDescent="0.3">
      <c r="I142" s="25"/>
      <c r="J142" s="25"/>
      <c r="K142" s="25"/>
    </row>
    <row r="143" spans="3:15" x14ac:dyDescent="0.3">
      <c r="I143" s="25"/>
      <c r="J143" s="25"/>
      <c r="K143" s="25"/>
    </row>
    <row r="144" spans="3:15" x14ac:dyDescent="0.3">
      <c r="I144" s="25"/>
      <c r="J144" s="25"/>
      <c r="K144" s="25"/>
    </row>
  </sheetData>
  <customSheetViews>
    <customSheetView guid="{9EE97662-2FE1-4C74-97EE-22F49F81E1CE}" showPageBreaks="1" fitToPage="1" hiddenRows="1" topLeftCell="A3">
      <pane xSplit="7" ySplit="2" topLeftCell="I74" activePane="bottomRight" state="frozen"/>
      <selection pane="bottomRight" activeCell="AD22" sqref="AD22"/>
      <pageMargins left="0.25" right="0.25" top="0.75" bottom="0.75" header="0.3" footer="0.3"/>
      <pageSetup scale="25" fitToWidth="0" orientation="portrait" horizontalDpi="4294967294" r:id="rId1"/>
      <headerFooter>
        <oddHeader>&amp;L&amp;"Arial,Bold"&amp;8 10:25 AM
&amp;"Arial,Bold"&amp;8 09/30/13
&amp;"Arial,Bold"&amp;8 Accrual Basis&amp;C&amp;"Arial,Bold"&amp;12 Holiday Park Homeowners Association
&amp;"Arial,Bold"&amp;14 Profit &amp;&amp; Loss
&amp;"Arial,Bold"&amp;10 January through August 2013</oddHeader>
        <oddFooter>&amp;R&amp;"Arial,Bold"&amp;8 Page &amp;P of &amp;N</oddFooter>
      </headerFooter>
    </customSheetView>
    <customSheetView guid="{869B676D-37B2-4208-86A6-70E31682ADA7}" fitToPage="1" hiddenRows="1" topLeftCell="A3">
      <pane xSplit="7" ySplit="2" topLeftCell="I74" activePane="bottomRight" state="frozen"/>
      <selection pane="bottomRight" activeCell="AD22" sqref="AD22"/>
      <pageMargins left="0.25" right="0.25" top="0.75" bottom="0.75" header="0.3" footer="0.3"/>
      <pageSetup scale="25" fitToWidth="0" orientation="portrait" horizontalDpi="4294967294" verticalDpi="0" r:id="rId2"/>
      <headerFooter>
        <oddHeader>&amp;L&amp;"Arial,Bold"&amp;8 10:25 AM
&amp;"Arial,Bold"&amp;8 09/30/13
&amp;"Arial,Bold"&amp;8 Accrual Basis&amp;C&amp;"Arial,Bold"&amp;12 Holiday Park Homeowners Association
&amp;"Arial,Bold"&amp;14 Profit &amp;&amp; Loss
&amp;"Arial,Bold"&amp;10 January through August 2013</oddHeader>
        <oddFooter>&amp;R&amp;"Arial,Bold"&amp;8 Page &amp;P of &amp;N</oddFooter>
      </headerFooter>
    </customSheetView>
  </customSheetViews>
  <phoneticPr fontId="17" type="noConversion"/>
  <pageMargins left="0.25" right="0.25" top="0.75" bottom="0.75" header="0.3" footer="0.3"/>
  <pageSetup scale="60" fitToHeight="2" orientation="portrait" horizontalDpi="300" verticalDpi="300" r:id="rId3"/>
  <headerFooter>
    <oddFooter>&amp;L&amp;D</oddFooter>
  </headerFooter>
  <rowBreaks count="1" manualBreakCount="1">
    <brk id="88" max="15" man="1"/>
  </rowBreak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71A8-3AB5-4BE5-B569-CB8E3F49417C}">
  <sheetPr transitionEntry="1">
    <pageSetUpPr fitToPage="1"/>
  </sheetPr>
  <dimension ref="A1:AD159"/>
  <sheetViews>
    <sheetView workbookViewId="0"/>
  </sheetViews>
  <sheetFormatPr defaultColWidth="9.109375" defaultRowHeight="13.8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20" width="8.88671875" style="26" customWidth="1" outlineLevel="1"/>
    <col min="21" max="21" width="12.5546875" style="26" customWidth="1"/>
    <col min="22" max="23" width="12.5546875" style="55" customWidth="1"/>
    <col min="24" max="24" width="2.6640625" style="26" customWidth="1"/>
    <col min="25" max="33" width="9.109375" style="26" customWidth="1"/>
    <col min="34" max="16384" width="9.109375" style="26"/>
  </cols>
  <sheetData>
    <row r="1" spans="1:30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0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0"/>
    </row>
    <row r="3" spans="1:30" x14ac:dyDescent="0.3">
      <c r="A3" s="153" t="s">
        <v>139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0"/>
    </row>
    <row r="4" spans="1:30" x14ac:dyDescent="0.3">
      <c r="A4" s="4"/>
      <c r="B4" s="6"/>
      <c r="C4" s="28"/>
      <c r="D4" s="28"/>
      <c r="E4" s="28"/>
      <c r="F4" s="28"/>
      <c r="G4" s="205">
        <v>44859.667184837963</v>
      </c>
      <c r="H4" s="28"/>
      <c r="I4" s="3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6"/>
      <c r="V4" s="75"/>
      <c r="W4" s="230" t="s">
        <v>40</v>
      </c>
      <c r="AA4" s="86"/>
    </row>
    <row r="5" spans="1:30" x14ac:dyDescent="0.3">
      <c r="A5" s="8"/>
      <c r="B5" s="31"/>
      <c r="C5" s="31"/>
      <c r="D5" s="31"/>
      <c r="E5" s="31"/>
      <c r="F5" s="31"/>
      <c r="G5" s="97">
        <f ca="1">NOW()</f>
        <v>45992.636546296293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7">
        <v>2023</v>
      </c>
      <c r="V5" s="88">
        <v>2022</v>
      </c>
      <c r="W5" s="231" t="s">
        <v>148</v>
      </c>
      <c r="X5" s="33"/>
    </row>
    <row r="6" spans="1:30" x14ac:dyDescent="0.3">
      <c r="A6" s="26"/>
      <c r="I6" s="34" t="s">
        <v>41</v>
      </c>
      <c r="J6" s="34" t="s">
        <v>41</v>
      </c>
      <c r="K6" s="34" t="s">
        <v>41</v>
      </c>
      <c r="L6" s="34" t="s">
        <v>41</v>
      </c>
      <c r="M6" s="34" t="s">
        <v>41</v>
      </c>
      <c r="N6" s="34" t="s">
        <v>41</v>
      </c>
      <c r="O6" s="34" t="s">
        <v>41</v>
      </c>
      <c r="P6" s="34" t="s">
        <v>41</v>
      </c>
      <c r="Q6" s="34" t="s">
        <v>41</v>
      </c>
      <c r="R6" s="34" t="s">
        <v>41</v>
      </c>
      <c r="S6" s="34" t="s">
        <v>41</v>
      </c>
      <c r="T6" s="34" t="s">
        <v>41</v>
      </c>
      <c r="U6" s="66" t="s">
        <v>41</v>
      </c>
      <c r="V6" s="37" t="s">
        <v>42</v>
      </c>
      <c r="W6" s="77" t="s">
        <v>43</v>
      </c>
      <c r="X6" s="33"/>
    </row>
    <row r="7" spans="1:30" s="38" customFormat="1" ht="14.4" thickBot="1" x14ac:dyDescent="0.35">
      <c r="A7" s="37"/>
      <c r="B7" s="37"/>
      <c r="C7" s="37"/>
      <c r="D7" s="37"/>
      <c r="E7" s="37"/>
      <c r="F7" s="37"/>
      <c r="G7" s="37"/>
      <c r="H7" s="37"/>
      <c r="I7" s="36" t="s">
        <v>35</v>
      </c>
      <c r="J7" s="36" t="s">
        <v>36</v>
      </c>
      <c r="K7" s="36" t="s">
        <v>37</v>
      </c>
      <c r="L7" s="36" t="s">
        <v>38</v>
      </c>
      <c r="M7" s="36" t="s">
        <v>39</v>
      </c>
      <c r="N7" s="36" t="s">
        <v>49</v>
      </c>
      <c r="O7" s="36" t="s">
        <v>50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68" t="s">
        <v>67</v>
      </c>
      <c r="V7" s="36" t="s">
        <v>67</v>
      </c>
      <c r="W7" s="78" t="s">
        <v>158</v>
      </c>
      <c r="X7" s="37"/>
    </row>
    <row r="8" spans="1:30" ht="15.75" customHeight="1" thickTop="1" x14ac:dyDescent="0.3">
      <c r="A8" s="33"/>
      <c r="B8" s="40" t="str">
        <f>'[1]2022 Forecast'!B8</f>
        <v>Ordinary Income/Expense</v>
      </c>
      <c r="C8" s="33"/>
      <c r="D8" s="33"/>
      <c r="E8" s="33"/>
      <c r="F8" s="33"/>
      <c r="G8" s="33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9"/>
      <c r="V8" s="41"/>
      <c r="W8" s="232"/>
      <c r="X8" s="33"/>
    </row>
    <row r="9" spans="1:30" ht="15.75" customHeight="1" x14ac:dyDescent="0.3">
      <c r="A9" s="33"/>
      <c r="B9" s="33"/>
      <c r="C9" s="127" t="str">
        <f>'[1]2022 Forecast'!C9</f>
        <v>Income</v>
      </c>
      <c r="D9" s="33"/>
      <c r="E9" s="33"/>
      <c r="F9" s="33"/>
      <c r="G9" s="33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25"/>
      <c r="V9" s="24"/>
      <c r="W9" s="233"/>
    </row>
    <row r="10" spans="1:30" ht="15.75" customHeight="1" x14ac:dyDescent="0.3">
      <c r="A10" s="33"/>
      <c r="B10" s="33"/>
      <c r="C10" s="33"/>
      <c r="D10" s="33" t="str">
        <f>'[1]2022 Forecast'!D10</f>
        <v>Dues</v>
      </c>
      <c r="E10" s="33"/>
      <c r="F10" s="33"/>
      <c r="G10" s="33"/>
      <c r="H10" s="118" t="s">
        <v>126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5"/>
      <c r="V10" s="24"/>
      <c r="W10" s="233"/>
      <c r="Z10" s="140"/>
      <c r="AA10" s="140"/>
      <c r="AB10" s="140"/>
      <c r="AC10" s="38"/>
    </row>
    <row r="11" spans="1:30" ht="15.75" customHeight="1" x14ac:dyDescent="0.3">
      <c r="A11" s="33"/>
      <c r="B11" s="33"/>
      <c r="C11" s="33"/>
      <c r="D11" s="33"/>
      <c r="E11" s="136" t="str">
        <f>'[1]2022 Forecast'!E11</f>
        <v>Dues Adjustments</v>
      </c>
      <c r="F11" s="33"/>
      <c r="G11" s="33"/>
      <c r="H11" s="118"/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70">
        <f>SUM(I11:T11)</f>
        <v>0</v>
      </c>
      <c r="V11" s="50">
        <f>'[1]2022 Forecast'!O11</f>
        <v>0</v>
      </c>
      <c r="W11" s="82">
        <f t="shared" ref="W11" si="0">U11-V11</f>
        <v>0</v>
      </c>
      <c r="Z11" s="321" t="s">
        <v>101</v>
      </c>
      <c r="AA11" s="321" t="s">
        <v>102</v>
      </c>
      <c r="AB11" s="321" t="s">
        <v>103</v>
      </c>
      <c r="AC11" s="38"/>
    </row>
    <row r="12" spans="1:30" ht="15.75" customHeight="1" x14ac:dyDescent="0.3">
      <c r="A12" s="33"/>
      <c r="B12" s="33"/>
      <c r="C12" s="33"/>
      <c r="D12" s="33"/>
      <c r="E12" s="33" t="str">
        <f>'[1]2022 Forecast'!E12</f>
        <v>HOA Dues</v>
      </c>
      <c r="F12" s="33"/>
      <c r="G12" s="33"/>
      <c r="H12" s="113">
        <f>'[1]2022 Forecast'!H12*1.045</f>
        <v>95.006174999999985</v>
      </c>
      <c r="I12" s="42">
        <f>(10*$H12*3)+($AB12*$H12)+(2*$H12*12)</f>
        <v>13585.883024999999</v>
      </c>
      <c r="J12" s="42">
        <f>(H12*AB12)+(H12*25)+1000</f>
        <v>11830.703949999999</v>
      </c>
      <c r="K12" s="50">
        <f>J12</f>
        <v>11830.703949999999</v>
      </c>
      <c r="L12" s="42">
        <f>($AA12*$H12*1)+($AB12*$H12)+1500-270</f>
        <v>12155.710124999998</v>
      </c>
      <c r="M12" s="42">
        <f>($AA12*$H12*1)+($AB12*$H12)</f>
        <v>10925.710124999998</v>
      </c>
      <c r="N12" s="50">
        <f>M12</f>
        <v>10925.710124999998</v>
      </c>
      <c r="O12" s="42">
        <f>($AA12*$H12*1)+($AB12*$H12)</f>
        <v>10925.710124999998</v>
      </c>
      <c r="P12" s="50">
        <f>N12</f>
        <v>10925.710124999998</v>
      </c>
      <c r="Q12" s="50">
        <f>P12</f>
        <v>10925.710124999998</v>
      </c>
      <c r="R12" s="42">
        <f>($AA12*$H12*1)+($AB12*$H12)</f>
        <v>10925.710124999998</v>
      </c>
      <c r="S12" s="50">
        <f>Q12</f>
        <v>10925.710124999998</v>
      </c>
      <c r="T12" s="50">
        <f>S12</f>
        <v>10925.710124999998</v>
      </c>
      <c r="U12" s="240">
        <f>SUM(I12:T12)</f>
        <v>136808.68204999997</v>
      </c>
      <c r="V12" s="239">
        <f>'[1]2022 Forecast'!O12</f>
        <v>130917.6</v>
      </c>
      <c r="W12" s="241">
        <f>U12-V12</f>
        <v>5891.0820499999681</v>
      </c>
      <c r="Z12" s="37">
        <f>'[1]2022 Forecast'!U12</f>
        <v>5</v>
      </c>
      <c r="AA12" s="37">
        <f>'[1]2022 Forecast'!V12</f>
        <v>26</v>
      </c>
      <c r="AB12" s="37">
        <f>'[1]2022 Forecast'!W12</f>
        <v>89</v>
      </c>
      <c r="AC12" s="37">
        <f>SUM(Z12:AB12)</f>
        <v>120</v>
      </c>
      <c r="AD12" s="55">
        <f>AC12*H12*12</f>
        <v>136808.89199999999</v>
      </c>
    </row>
    <row r="13" spans="1:30" ht="15.75" customHeight="1" x14ac:dyDescent="0.3">
      <c r="A13" s="33"/>
      <c r="B13" s="33"/>
      <c r="C13" s="33"/>
      <c r="D13" s="33"/>
      <c r="E13" s="33" t="str">
        <f>'[1]2022 Forecast'!E13</f>
        <v>Late Payments (Dues)</v>
      </c>
      <c r="F13" s="33"/>
      <c r="G13" s="33"/>
      <c r="H13" s="154"/>
      <c r="I13" s="42">
        <f>H12*-2</f>
        <v>-190.01234999999997</v>
      </c>
      <c r="J13" s="50">
        <f>I13</f>
        <v>-190.01234999999997</v>
      </c>
      <c r="K13" s="50">
        <f t="shared" ref="K13:T13" si="1">J13</f>
        <v>-190.01234999999997</v>
      </c>
      <c r="L13" s="50">
        <f t="shared" si="1"/>
        <v>-190.01234999999997</v>
      </c>
      <c r="M13" s="50">
        <f t="shared" si="1"/>
        <v>-190.01234999999997</v>
      </c>
      <c r="N13" s="50">
        <f t="shared" si="1"/>
        <v>-190.01234999999997</v>
      </c>
      <c r="O13" s="50">
        <f t="shared" si="1"/>
        <v>-190.01234999999997</v>
      </c>
      <c r="P13" s="50">
        <f t="shared" si="1"/>
        <v>-190.01234999999997</v>
      </c>
      <c r="Q13" s="50">
        <f t="shared" si="1"/>
        <v>-190.01234999999997</v>
      </c>
      <c r="R13" s="50">
        <f t="shared" si="1"/>
        <v>-190.01234999999997</v>
      </c>
      <c r="S13" s="50">
        <f t="shared" si="1"/>
        <v>-190.01234999999997</v>
      </c>
      <c r="T13" s="50">
        <f t="shared" si="1"/>
        <v>-190.01234999999997</v>
      </c>
      <c r="U13" s="70">
        <f>SUM(I13:T13)</f>
        <v>-2280.1481999999996</v>
      </c>
      <c r="V13" s="50">
        <f>'[1]2022 Forecast'!O13</f>
        <v>-2020</v>
      </c>
      <c r="W13" s="82">
        <f t="shared" ref="W13:W20" si="2">U13-V13</f>
        <v>-260.14819999999963</v>
      </c>
      <c r="Y13" s="243" t="s">
        <v>104</v>
      </c>
      <c r="AD13" s="53">
        <f>AD12-U12</f>
        <v>0.20995000001857989</v>
      </c>
    </row>
    <row r="14" spans="1:30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71"/>
      <c r="V14" s="80"/>
      <c r="W14" s="83"/>
      <c r="Z14" s="116"/>
      <c r="AD14" s="117"/>
    </row>
    <row r="15" spans="1:30" ht="15.75" customHeight="1" x14ac:dyDescent="0.3">
      <c r="A15" s="33"/>
      <c r="B15" s="33"/>
      <c r="C15" s="33"/>
      <c r="D15" s="127" t="str">
        <f>'[1]2022 Forecast'!D15</f>
        <v>Total Dues</v>
      </c>
      <c r="E15" s="33"/>
      <c r="F15" s="33"/>
      <c r="G15" s="33"/>
      <c r="H15" s="33"/>
      <c r="I15" s="44">
        <f>SUM(I10:I14)</f>
        <v>13395.870674999998</v>
      </c>
      <c r="J15" s="44">
        <f t="shared" ref="J15:W15" si="3">SUM(J10:J14)</f>
        <v>11640.691599999998</v>
      </c>
      <c r="K15" s="44">
        <f t="shared" si="3"/>
        <v>11640.691599999998</v>
      </c>
      <c r="L15" s="44">
        <f t="shared" si="3"/>
        <v>11965.697774999997</v>
      </c>
      <c r="M15" s="44">
        <f t="shared" si="3"/>
        <v>10735.697774999997</v>
      </c>
      <c r="N15" s="44">
        <f t="shared" si="3"/>
        <v>10735.697774999997</v>
      </c>
      <c r="O15" s="44">
        <f t="shared" si="3"/>
        <v>10735.697774999997</v>
      </c>
      <c r="P15" s="44">
        <f t="shared" si="3"/>
        <v>10735.697774999997</v>
      </c>
      <c r="Q15" s="44">
        <f t="shared" si="3"/>
        <v>10735.697774999997</v>
      </c>
      <c r="R15" s="44">
        <f t="shared" si="3"/>
        <v>10735.697774999997</v>
      </c>
      <c r="S15" s="44">
        <f t="shared" si="3"/>
        <v>10735.697774999997</v>
      </c>
      <c r="T15" s="44">
        <f t="shared" si="3"/>
        <v>10735.697774999997</v>
      </c>
      <c r="U15" s="72">
        <f t="shared" si="3"/>
        <v>134528.53384999998</v>
      </c>
      <c r="V15" s="44">
        <f t="shared" si="3"/>
        <v>128897.60000000001</v>
      </c>
      <c r="W15" s="84">
        <f t="shared" si="3"/>
        <v>5630.9338499999685</v>
      </c>
      <c r="Y15" s="242">
        <f>U15-V15</f>
        <v>5630.9338499999722</v>
      </c>
    </row>
    <row r="16" spans="1:30" ht="15.75" customHeight="1" x14ac:dyDescent="0.3">
      <c r="A16" s="33"/>
      <c r="B16" s="33"/>
      <c r="C16" s="33"/>
      <c r="D16" s="33"/>
      <c r="E16" s="33"/>
      <c r="F16" s="33"/>
      <c r="G16" s="45"/>
      <c r="H16" s="33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0"/>
      <c r="V16" s="50"/>
      <c r="W16" s="82"/>
      <c r="X16" s="33"/>
      <c r="Y16" s="243"/>
    </row>
    <row r="17" spans="1:25" ht="15.75" customHeight="1" x14ac:dyDescent="0.3">
      <c r="A17" s="33"/>
      <c r="B17" s="33"/>
      <c r="C17" s="33"/>
      <c r="D17" s="33" t="str">
        <f>'[1]2022 Forecast'!D17</f>
        <v>Interest Income</v>
      </c>
      <c r="E17" s="33"/>
      <c r="F17" s="33"/>
      <c r="G17" s="33"/>
      <c r="H17" s="174">
        <f>'[1]2022 Forecast'!H17</f>
        <v>2.5000000000000001E-3</v>
      </c>
      <c r="I17" s="50">
        <f t="shared" ref="I17:T17" si="4">$H$17*H120</f>
        <v>52.998136377438009</v>
      </c>
      <c r="J17" s="50">
        <f t="shared" si="4"/>
        <v>72.772333405881596</v>
      </c>
      <c r="K17" s="50">
        <f t="shared" si="4"/>
        <v>51.833018239396296</v>
      </c>
      <c r="L17" s="50">
        <f t="shared" si="4"/>
        <v>57.841354784994785</v>
      </c>
      <c r="M17" s="50">
        <f t="shared" si="4"/>
        <v>39.177227609457262</v>
      </c>
      <c r="N17" s="50">
        <f t="shared" si="4"/>
        <v>28.876440115980905</v>
      </c>
      <c r="O17" s="50">
        <f t="shared" si="4"/>
        <v>17.498942320437511</v>
      </c>
      <c r="P17" s="50">
        <f t="shared" si="4"/>
        <v>12.542534113738595</v>
      </c>
      <c r="Q17" s="50">
        <f t="shared" si="4"/>
        <v>9.2948209579515009</v>
      </c>
      <c r="R17" s="50">
        <f t="shared" si="4"/>
        <v>11.856116733560658</v>
      </c>
      <c r="S17" s="50">
        <f t="shared" si="4"/>
        <v>10.72238717718027</v>
      </c>
      <c r="T17" s="50">
        <f t="shared" si="4"/>
        <v>14.139037582623212</v>
      </c>
      <c r="U17" s="70">
        <f t="shared" ref="U17:U20" si="5">SUM(I17:T17)</f>
        <v>379.55234941864063</v>
      </c>
      <c r="V17" s="50">
        <f>'[1]2022 Forecast'!O17</f>
        <v>162.35026526091269</v>
      </c>
      <c r="W17" s="82">
        <f t="shared" si="2"/>
        <v>217.20208415772794</v>
      </c>
      <c r="Y17" s="243"/>
    </row>
    <row r="18" spans="1:25" ht="15.75" customHeight="1" x14ac:dyDescent="0.3">
      <c r="A18" s="33"/>
      <c r="B18" s="33"/>
      <c r="C18" s="33"/>
      <c r="D18" s="33" t="str">
        <f>'[1]2022 Forecast'!D18</f>
        <v>Legal &amp; Violation Fees / Lien Fees Assessed</v>
      </c>
      <c r="E18" s="33"/>
      <c r="F18" s="33"/>
      <c r="G18" s="33"/>
      <c r="H18" s="174"/>
      <c r="I18" s="42">
        <v>0</v>
      </c>
      <c r="J18" s="42">
        <v>100</v>
      </c>
      <c r="K18" s="42">
        <v>0</v>
      </c>
      <c r="L18" s="42">
        <v>100</v>
      </c>
      <c r="M18" s="42">
        <v>0</v>
      </c>
      <c r="N18" s="42">
        <v>100</v>
      </c>
      <c r="O18" s="42">
        <v>0</v>
      </c>
      <c r="P18" s="42">
        <v>100</v>
      </c>
      <c r="Q18" s="42">
        <v>0</v>
      </c>
      <c r="R18" s="42">
        <v>100</v>
      </c>
      <c r="S18" s="42">
        <v>0</v>
      </c>
      <c r="T18" s="42">
        <v>100</v>
      </c>
      <c r="U18" s="70">
        <f t="shared" si="5"/>
        <v>600</v>
      </c>
      <c r="V18" s="50">
        <f>'[1]2022 Forecast'!O18</f>
        <v>1020</v>
      </c>
      <c r="W18" s="82">
        <f t="shared" si="2"/>
        <v>-420</v>
      </c>
      <c r="Y18" s="243"/>
    </row>
    <row r="19" spans="1:25" ht="15.75" customHeight="1" x14ac:dyDescent="0.3">
      <c r="A19" s="33"/>
      <c r="B19" s="33"/>
      <c r="C19" s="33"/>
      <c r="D19" s="33" t="str">
        <f>'[1]2022 Forecast'!D19</f>
        <v>Transfer Fee/Resale Cert Income</v>
      </c>
      <c r="E19" s="33"/>
      <c r="F19" s="33"/>
      <c r="G19" s="33"/>
      <c r="H19" s="322"/>
      <c r="I19" s="42">
        <v>0</v>
      </c>
      <c r="J19" s="42">
        <v>0</v>
      </c>
      <c r="K19" s="42">
        <v>350</v>
      </c>
      <c r="L19" s="42">
        <v>350</v>
      </c>
      <c r="M19" s="42">
        <v>0</v>
      </c>
      <c r="N19" s="42">
        <v>350</v>
      </c>
      <c r="O19" s="42">
        <v>0</v>
      </c>
      <c r="P19" s="42">
        <v>0</v>
      </c>
      <c r="Q19" s="42">
        <v>350</v>
      </c>
      <c r="R19" s="42">
        <v>0</v>
      </c>
      <c r="S19" s="42">
        <v>0</v>
      </c>
      <c r="T19" s="42">
        <v>0</v>
      </c>
      <c r="U19" s="70">
        <f t="shared" si="5"/>
        <v>1400</v>
      </c>
      <c r="V19" s="50">
        <f>'[1]2022 Forecast'!O19</f>
        <v>0</v>
      </c>
      <c r="W19" s="82">
        <f t="shared" si="2"/>
        <v>1400</v>
      </c>
      <c r="Y19" s="243"/>
    </row>
    <row r="20" spans="1:25" ht="15.75" customHeight="1" x14ac:dyDescent="0.3">
      <c r="A20" s="33"/>
      <c r="B20" s="33"/>
      <c r="C20" s="33"/>
      <c r="D20" s="33" t="str">
        <f>'[1]2022 Forecast'!D20</f>
        <v>Miscellaneous Income</v>
      </c>
      <c r="E20" s="33"/>
      <c r="F20" s="33"/>
      <c r="G20" s="33"/>
      <c r="H20" s="33"/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74">
        <f>SUM(I55:N55,I90:N90)/3*1</f>
        <v>182.18666666666664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50">
        <f>SUM(O55:T55,O90:T90)/3*1</f>
        <v>65.52</v>
      </c>
      <c r="U20" s="207">
        <f t="shared" si="5"/>
        <v>247.70666666666665</v>
      </c>
      <c r="V20" s="74">
        <f>'[1]2022 Forecast'!O20</f>
        <v>25.840000000000003</v>
      </c>
      <c r="W20" s="208">
        <f t="shared" si="2"/>
        <v>221.86666666666665</v>
      </c>
      <c r="Y20" s="243"/>
    </row>
    <row r="21" spans="1:25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46"/>
      <c r="U21" s="70"/>
      <c r="V21" s="50"/>
      <c r="W21" s="82"/>
      <c r="Y21" s="243"/>
    </row>
    <row r="22" spans="1:25" ht="15.75" customHeight="1" x14ac:dyDescent="0.3">
      <c r="A22" s="33"/>
      <c r="B22" s="33"/>
      <c r="C22" s="127" t="str">
        <f>'[1]2022 Forecast'!C22</f>
        <v>Total Income &amp; Dues</v>
      </c>
      <c r="D22" s="33"/>
      <c r="E22" s="33"/>
      <c r="F22" s="33"/>
      <c r="G22" s="33"/>
      <c r="H22" s="33"/>
      <c r="I22" s="44">
        <f t="shared" ref="I22:W22" si="6">SUM(I17:I21)+I15</f>
        <v>13448.868811377437</v>
      </c>
      <c r="J22" s="44">
        <f t="shared" si="6"/>
        <v>11813.463933405879</v>
      </c>
      <c r="K22" s="44">
        <f t="shared" si="6"/>
        <v>12042.524618239395</v>
      </c>
      <c r="L22" s="44">
        <f t="shared" si="6"/>
        <v>12473.539129784991</v>
      </c>
      <c r="M22" s="44">
        <f t="shared" si="6"/>
        <v>10774.875002609455</v>
      </c>
      <c r="N22" s="44">
        <f t="shared" si="6"/>
        <v>11396.760881782644</v>
      </c>
      <c r="O22" s="44">
        <f t="shared" si="6"/>
        <v>10753.196717320434</v>
      </c>
      <c r="P22" s="44">
        <f t="shared" si="6"/>
        <v>10848.240309113735</v>
      </c>
      <c r="Q22" s="44">
        <f t="shared" si="6"/>
        <v>11094.992595957949</v>
      </c>
      <c r="R22" s="44">
        <f t="shared" si="6"/>
        <v>10847.553891733558</v>
      </c>
      <c r="S22" s="44">
        <f t="shared" si="6"/>
        <v>10746.420162177177</v>
      </c>
      <c r="T22" s="44">
        <f t="shared" si="6"/>
        <v>10915.35681258262</v>
      </c>
      <c r="U22" s="72">
        <f t="shared" si="6"/>
        <v>137155.79286608528</v>
      </c>
      <c r="V22" s="44">
        <f t="shared" si="6"/>
        <v>130105.79026526092</v>
      </c>
      <c r="W22" s="84">
        <f t="shared" si="6"/>
        <v>7050.0026008243631</v>
      </c>
      <c r="Y22" s="242">
        <f>U22-V22</f>
        <v>7050.0026008243585</v>
      </c>
    </row>
    <row r="23" spans="1:25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0"/>
      <c r="V23" s="50"/>
      <c r="W23" s="82"/>
      <c r="Y23" s="243"/>
    </row>
    <row r="24" spans="1:25" ht="15.75" customHeight="1" x14ac:dyDescent="0.3">
      <c r="A24" s="33"/>
      <c r="B24" s="33"/>
      <c r="C24" s="127" t="str">
        <f>'[1]2022 Forecast'!C24</f>
        <v>Administrative Expense</v>
      </c>
      <c r="D24" s="33"/>
      <c r="E24" s="33"/>
      <c r="F24" s="33"/>
      <c r="G24" s="33"/>
      <c r="H24" s="33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70"/>
      <c r="V24" s="50"/>
      <c r="W24" s="82"/>
      <c r="Y24" s="243"/>
    </row>
    <row r="25" spans="1:25" ht="15.75" customHeight="1" x14ac:dyDescent="0.3">
      <c r="A25" s="33"/>
      <c r="B25" s="33"/>
      <c r="C25" s="127"/>
      <c r="D25" s="45" t="str">
        <f>'[1]2022 Forecast'!D25</f>
        <v>Bank Service Charges &amp; Fees</v>
      </c>
      <c r="E25" s="33"/>
      <c r="F25" s="33"/>
      <c r="G25" s="33"/>
      <c r="H25" s="33"/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70">
        <f t="shared" ref="U25:U37" si="7">SUM(I25:T25)</f>
        <v>0</v>
      </c>
      <c r="V25" s="50">
        <f>'[1]2022 Forecast'!O25</f>
        <v>10</v>
      </c>
      <c r="W25" s="82">
        <f>V25-U25</f>
        <v>10</v>
      </c>
      <c r="Y25" s="243"/>
    </row>
    <row r="26" spans="1:25" ht="15.75" customHeight="1" x14ac:dyDescent="0.3">
      <c r="A26" s="33"/>
      <c r="B26" s="33"/>
      <c r="C26" s="33"/>
      <c r="D26" s="45" t="str">
        <f>'[1]2022 Forecast'!D26</f>
        <v>Accounting Fees-incl. tax/audit</v>
      </c>
      <c r="E26" s="33"/>
      <c r="F26" s="33"/>
      <c r="G26" s="33"/>
      <c r="H26" s="33"/>
      <c r="I26" s="42">
        <v>357</v>
      </c>
      <c r="J26" s="42">
        <v>357</v>
      </c>
      <c r="K26" s="42">
        <v>357</v>
      </c>
      <c r="L26" s="42">
        <v>357</v>
      </c>
      <c r="M26" s="42">
        <f>357+1203</f>
        <v>1560</v>
      </c>
      <c r="N26" s="42">
        <f>357+503</f>
        <v>860</v>
      </c>
      <c r="O26" s="42">
        <v>357</v>
      </c>
      <c r="P26" s="42">
        <v>357</v>
      </c>
      <c r="Q26" s="42">
        <v>357</v>
      </c>
      <c r="R26" s="42">
        <v>357</v>
      </c>
      <c r="S26" s="42">
        <v>357</v>
      </c>
      <c r="T26" s="42">
        <v>357</v>
      </c>
      <c r="U26" s="70">
        <f t="shared" si="7"/>
        <v>5990</v>
      </c>
      <c r="V26" s="50">
        <f>'[1]2022 Forecast'!O26</f>
        <v>3817</v>
      </c>
      <c r="W26" s="82">
        <f>V26-U26</f>
        <v>-2173</v>
      </c>
      <c r="X26" s="33"/>
      <c r="Y26" s="243"/>
    </row>
    <row r="27" spans="1:25" ht="15.75" customHeight="1" x14ac:dyDescent="0.3">
      <c r="A27" s="33"/>
      <c r="B27" s="33"/>
      <c r="C27" s="33"/>
      <c r="D27" s="48" t="str">
        <f>'[1]2022 Forecast'!D27</f>
        <v>Benevolence Fund &amp; Donations</v>
      </c>
      <c r="E27" s="33"/>
      <c r="F27" s="33"/>
      <c r="G27" s="33"/>
      <c r="H27" s="33"/>
      <c r="I27" s="42">
        <v>0</v>
      </c>
      <c r="J27" s="42">
        <v>0</v>
      </c>
      <c r="K27" s="42">
        <v>50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50</v>
      </c>
      <c r="R27" s="42">
        <v>0</v>
      </c>
      <c r="S27" s="42">
        <v>0</v>
      </c>
      <c r="T27" s="42">
        <v>100</v>
      </c>
      <c r="U27" s="70">
        <f t="shared" si="7"/>
        <v>200</v>
      </c>
      <c r="V27" s="50">
        <f>'[1]2022 Forecast'!O27</f>
        <v>472.89</v>
      </c>
      <c r="W27" s="82">
        <f>V27-U27</f>
        <v>272.89</v>
      </c>
      <c r="Y27" s="243"/>
    </row>
    <row r="28" spans="1:25" ht="15.75" customHeight="1" x14ac:dyDescent="0.3">
      <c r="A28" s="33"/>
      <c r="B28" s="33"/>
      <c r="C28" s="33"/>
      <c r="D28" s="45" t="str">
        <f>'[1]2022 Forecast'!D28</f>
        <v>Insurance</v>
      </c>
      <c r="E28" s="33"/>
      <c r="F28" s="33"/>
      <c r="G28" s="33"/>
      <c r="H28" s="33"/>
      <c r="I28" s="42">
        <v>0</v>
      </c>
      <c r="J28" s="42">
        <v>0</v>
      </c>
      <c r="K28" s="42">
        <v>0</v>
      </c>
      <c r="L28" s="42">
        <v>5100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70">
        <f t="shared" si="7"/>
        <v>5100</v>
      </c>
      <c r="V28" s="50">
        <f>'[1]2022 Forecast'!O28</f>
        <v>4787</v>
      </c>
      <c r="W28" s="82">
        <f t="shared" ref="W28:W37" si="8">V28-U28</f>
        <v>-313</v>
      </c>
      <c r="Y28" s="243"/>
    </row>
    <row r="29" spans="1:25" ht="15.75" customHeight="1" x14ac:dyDescent="0.3">
      <c r="A29" s="33"/>
      <c r="B29" s="33"/>
      <c r="C29" s="33"/>
      <c r="D29" s="33" t="str">
        <f>'[1]2022 Forecast'!D29</f>
        <v>Interest Expense - Loan</v>
      </c>
      <c r="E29" s="33"/>
      <c r="F29" s="33"/>
      <c r="G29" s="33"/>
      <c r="H29" s="33"/>
      <c r="I29" s="50">
        <f>I127</f>
        <v>23.41613751141923</v>
      </c>
      <c r="J29" s="50">
        <f t="shared" ref="J29:T29" si="9">J127</f>
        <v>16.969990375290593</v>
      </c>
      <c r="K29" s="50">
        <f t="shared" si="9"/>
        <v>14.124585719363518</v>
      </c>
      <c r="L29" s="50">
        <f t="shared" si="9"/>
        <v>9.1405320597470006</v>
      </c>
      <c r="M29" s="50">
        <f t="shared" si="9"/>
        <v>4.7382569070693084</v>
      </c>
      <c r="N29" s="50">
        <f t="shared" si="9"/>
        <v>1.3470006406578253E-3</v>
      </c>
      <c r="O29" s="50">
        <f t="shared" si="9"/>
        <v>1.399357272702442E-3</v>
      </c>
      <c r="P29" s="50">
        <f t="shared" si="9"/>
        <v>1.4071037147477591E-3</v>
      </c>
      <c r="Q29" s="50">
        <f t="shared" si="9"/>
        <v>1.3692513279512613E-3</v>
      </c>
      <c r="R29" s="50">
        <f t="shared" si="9"/>
        <v>1.422472823019843E-3</v>
      </c>
      <c r="S29" s="50">
        <f t="shared" si="9"/>
        <v>1.3842069930457492E-3</v>
      </c>
      <c r="T29" s="50">
        <f t="shared" si="9"/>
        <v>1.4380098005730632E-3</v>
      </c>
      <c r="U29" s="70">
        <f t="shared" si="7"/>
        <v>68.399269975462374</v>
      </c>
      <c r="V29" s="50">
        <f>'[1]2022 Forecast'!O29</f>
        <v>586.45193754669924</v>
      </c>
      <c r="W29" s="82">
        <f t="shared" si="8"/>
        <v>518.05266757123684</v>
      </c>
      <c r="Y29" s="243"/>
    </row>
    <row r="30" spans="1:25" ht="15.75" customHeight="1" x14ac:dyDescent="0.3">
      <c r="A30" s="33"/>
      <c r="B30" s="33"/>
      <c r="C30" s="33"/>
      <c r="D30" s="45" t="str">
        <f>'[1]2022 Forecast'!D30</f>
        <v>Legal Fees - incl. court filings, liens</v>
      </c>
      <c r="E30" s="33"/>
      <c r="F30" s="33"/>
      <c r="G30" s="33"/>
      <c r="H30" s="33"/>
      <c r="I30" s="42">
        <v>0</v>
      </c>
      <c r="J30" s="42">
        <v>0</v>
      </c>
      <c r="K30" s="42">
        <v>300</v>
      </c>
      <c r="L30" s="42">
        <v>0</v>
      </c>
      <c r="M30" s="42">
        <v>0</v>
      </c>
      <c r="N30" s="42">
        <v>1500</v>
      </c>
      <c r="O30" s="42">
        <v>0</v>
      </c>
      <c r="P30" s="42">
        <v>0</v>
      </c>
      <c r="Q30" s="42">
        <v>0</v>
      </c>
      <c r="R30" s="42">
        <v>300</v>
      </c>
      <c r="S30" s="42">
        <v>0</v>
      </c>
      <c r="T30" s="42">
        <v>0</v>
      </c>
      <c r="U30" s="70">
        <f t="shared" si="7"/>
        <v>2100</v>
      </c>
      <c r="V30" s="50">
        <f>'[1]2022 Forecast'!O30</f>
        <v>1534</v>
      </c>
      <c r="W30" s="82">
        <f t="shared" si="8"/>
        <v>-566</v>
      </c>
      <c r="Y30" s="243"/>
    </row>
    <row r="31" spans="1:25" ht="15.75" customHeight="1" x14ac:dyDescent="0.3">
      <c r="A31" s="33"/>
      <c r="B31" s="33"/>
      <c r="C31" s="33"/>
      <c r="D31" s="45" t="str">
        <f>'[1]2022 Forecast'!D31</f>
        <v>Local Taxes</v>
      </c>
      <c r="E31" s="33"/>
      <c r="F31" s="33"/>
      <c r="G31" s="33"/>
      <c r="H31" s="33"/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70">
        <f t="shared" si="7"/>
        <v>0</v>
      </c>
      <c r="V31" s="50">
        <f>'[1]2022 Forecast'!O31</f>
        <v>25.58</v>
      </c>
      <c r="W31" s="82">
        <f t="shared" si="8"/>
        <v>25.58</v>
      </c>
      <c r="Y31" s="243"/>
    </row>
    <row r="32" spans="1:25" ht="15.75" customHeight="1" x14ac:dyDescent="0.3">
      <c r="A32" s="33"/>
      <c r="B32" s="33"/>
      <c r="C32" s="33"/>
      <c r="D32" s="45" t="s">
        <v>145</v>
      </c>
      <c r="E32" s="33"/>
      <c r="F32" s="33"/>
      <c r="G32" s="33"/>
      <c r="H32" s="33"/>
      <c r="I32" s="42">
        <v>0</v>
      </c>
      <c r="J32" s="42">
        <v>100</v>
      </c>
      <c r="K32" s="42">
        <v>0</v>
      </c>
      <c r="L32" s="42">
        <v>100</v>
      </c>
      <c r="M32" s="42">
        <v>0</v>
      </c>
      <c r="N32" s="42">
        <v>0</v>
      </c>
      <c r="O32" s="42">
        <v>100</v>
      </c>
      <c r="P32" s="42">
        <v>0</v>
      </c>
      <c r="Q32" s="42">
        <v>100</v>
      </c>
      <c r="R32" s="42">
        <v>0</v>
      </c>
      <c r="S32" s="42">
        <v>100</v>
      </c>
      <c r="T32" s="42">
        <v>0</v>
      </c>
      <c r="U32" s="70">
        <f t="shared" si="7"/>
        <v>500</v>
      </c>
      <c r="V32" s="50">
        <f>'[1]2022 Forecast'!O32</f>
        <v>495.65</v>
      </c>
      <c r="W32" s="82">
        <f t="shared" si="8"/>
        <v>-4.3500000000000227</v>
      </c>
      <c r="Y32" s="243"/>
    </row>
    <row r="33" spans="1:25" ht="15.75" customHeight="1" x14ac:dyDescent="0.3">
      <c r="A33" s="33"/>
      <c r="B33" s="33"/>
      <c r="C33" s="33"/>
      <c r="D33" s="45" t="str">
        <f>'[1]2022 Forecast'!D33</f>
        <v>Payroll Taxes</v>
      </c>
      <c r="E33" s="33"/>
      <c r="F33" s="33"/>
      <c r="G33" s="33"/>
      <c r="H33" s="33"/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70">
        <f t="shared" si="7"/>
        <v>0</v>
      </c>
      <c r="V33" s="50">
        <f>'[1]2022 Forecast'!O33</f>
        <v>366.46</v>
      </c>
      <c r="W33" s="82">
        <f t="shared" si="8"/>
        <v>366.46</v>
      </c>
      <c r="Y33" s="243"/>
    </row>
    <row r="34" spans="1:25" ht="15.75" customHeight="1" x14ac:dyDescent="0.3">
      <c r="A34" s="33"/>
      <c r="B34" s="33"/>
      <c r="C34" s="33"/>
      <c r="D34" s="45" t="str">
        <f>'[1]2022 Forecast'!D34</f>
        <v>Postage &amp; PO Box</v>
      </c>
      <c r="E34" s="33"/>
      <c r="F34" s="33"/>
      <c r="G34" s="33"/>
      <c r="H34" s="33"/>
      <c r="I34" s="42">
        <v>0</v>
      </c>
      <c r="J34" s="42">
        <v>0</v>
      </c>
      <c r="K34" s="42">
        <v>0</v>
      </c>
      <c r="L34" s="42">
        <v>50</v>
      </c>
      <c r="M34" s="42">
        <v>0</v>
      </c>
      <c r="N34" s="42">
        <v>0</v>
      </c>
      <c r="O34" s="42">
        <v>0</v>
      </c>
      <c r="P34" s="42">
        <v>50</v>
      </c>
      <c r="Q34" s="42">
        <v>0</v>
      </c>
      <c r="R34" s="42">
        <v>212</v>
      </c>
      <c r="S34" s="42">
        <v>0</v>
      </c>
      <c r="T34" s="42">
        <v>0</v>
      </c>
      <c r="U34" s="70">
        <f t="shared" si="7"/>
        <v>312</v>
      </c>
      <c r="V34" s="50">
        <f>'[1]2022 Forecast'!O34</f>
        <v>193.05</v>
      </c>
      <c r="W34" s="82">
        <f t="shared" si="8"/>
        <v>-118.94999999999999</v>
      </c>
      <c r="Y34" s="243"/>
    </row>
    <row r="35" spans="1:25" ht="15.75" customHeight="1" x14ac:dyDescent="0.3">
      <c r="A35" s="33"/>
      <c r="B35" s="33"/>
      <c r="C35" s="33"/>
      <c r="D35" s="45" t="str">
        <f>'[1]2022 Forecast'!D35</f>
        <v>Security - Park Patrol</v>
      </c>
      <c r="E35" s="33"/>
      <c r="F35" s="33"/>
      <c r="G35" s="33"/>
      <c r="H35" s="33"/>
      <c r="I35" s="50">
        <f>'[1]Security Patrol'!H7</f>
        <v>900</v>
      </c>
      <c r="J35" s="50">
        <f>'[1]Security Patrol'!I7</f>
        <v>700</v>
      </c>
      <c r="K35" s="50">
        <f>'[1]Security Patrol'!J7</f>
        <v>700</v>
      </c>
      <c r="L35" s="50">
        <f>'[1]Security Patrol'!K7</f>
        <v>1000</v>
      </c>
      <c r="M35" s="50">
        <f>'[1]Security Patrol'!L7</f>
        <v>800</v>
      </c>
      <c r="N35" s="50">
        <f>'[1]Security Patrol'!M7</f>
        <v>900</v>
      </c>
      <c r="O35" s="50">
        <f>'[1]Security Patrol'!N7</f>
        <v>1100</v>
      </c>
      <c r="P35" s="50">
        <f>'[1]Security Patrol'!O7</f>
        <v>900</v>
      </c>
      <c r="Q35" s="50">
        <f>'[1]Security Patrol'!P7</f>
        <v>900</v>
      </c>
      <c r="R35" s="50">
        <f>'[1]Security Patrol'!Q7</f>
        <v>1000</v>
      </c>
      <c r="S35" s="50">
        <f>'[1]Security Patrol'!R7</f>
        <v>700</v>
      </c>
      <c r="T35" s="50">
        <f>'[1]Security Patrol'!S7</f>
        <v>800</v>
      </c>
      <c r="U35" s="70">
        <f t="shared" si="7"/>
        <v>10400</v>
      </c>
      <c r="V35" s="50">
        <f>'[1]2022 Forecast'!O35</f>
        <v>13200</v>
      </c>
      <c r="W35" s="82">
        <f t="shared" si="8"/>
        <v>2800</v>
      </c>
      <c r="Y35" s="243"/>
    </row>
    <row r="36" spans="1:25" ht="15.75" customHeight="1" x14ac:dyDescent="0.3">
      <c r="A36" s="33"/>
      <c r="B36" s="33"/>
      <c r="C36" s="33"/>
      <c r="D36" s="33" t="str">
        <f>'[1]2022 Forecast'!D36</f>
        <v>Social Events - incl. food &amp; beverage</v>
      </c>
      <c r="E36" s="33"/>
      <c r="F36" s="33"/>
      <c r="G36" s="33"/>
      <c r="H36" s="114"/>
      <c r="I36" s="42">
        <v>0</v>
      </c>
      <c r="J36" s="42">
        <v>0</v>
      </c>
      <c r="K36" s="42">
        <v>0</v>
      </c>
      <c r="L36" s="42">
        <v>100</v>
      </c>
      <c r="M36" s="42">
        <v>0</v>
      </c>
      <c r="N36" s="42">
        <v>0</v>
      </c>
      <c r="O36" s="42">
        <v>150</v>
      </c>
      <c r="P36" s="42">
        <v>0</v>
      </c>
      <c r="Q36" s="42">
        <v>0</v>
      </c>
      <c r="R36" s="42">
        <v>150</v>
      </c>
      <c r="S36" s="42">
        <v>0</v>
      </c>
      <c r="T36" s="42">
        <v>250</v>
      </c>
      <c r="U36" s="70">
        <f t="shared" si="7"/>
        <v>650</v>
      </c>
      <c r="V36" s="50">
        <f>'[1]2022 Forecast'!O36</f>
        <v>662.89</v>
      </c>
      <c r="W36" s="82">
        <f t="shared" si="8"/>
        <v>12.889999999999986</v>
      </c>
      <c r="Y36" s="243"/>
    </row>
    <row r="37" spans="1:25" ht="15.75" customHeight="1" x14ac:dyDescent="0.3">
      <c r="A37" s="33"/>
      <c r="B37" s="33"/>
      <c r="C37" s="33"/>
      <c r="D37" s="136" t="str">
        <f>'[1]2022 Forecast'!D37</f>
        <v>Web Site Hosting &amp; Domain Name</v>
      </c>
      <c r="E37" s="33"/>
      <c r="F37" s="33"/>
      <c r="G37" s="33"/>
      <c r="H37" s="33"/>
      <c r="I37" s="206">
        <v>0</v>
      </c>
      <c r="J37" s="206">
        <v>0</v>
      </c>
      <c r="K37" s="206">
        <v>100</v>
      </c>
      <c r="L37" s="206">
        <v>0</v>
      </c>
      <c r="M37" s="206">
        <v>0</v>
      </c>
      <c r="N37" s="206">
        <v>100</v>
      </c>
      <c r="O37" s="206">
        <v>0</v>
      </c>
      <c r="P37" s="206">
        <v>0</v>
      </c>
      <c r="Q37" s="206">
        <v>0</v>
      </c>
      <c r="R37" s="206">
        <v>100</v>
      </c>
      <c r="S37" s="206">
        <v>0</v>
      </c>
      <c r="T37" s="206">
        <v>0</v>
      </c>
      <c r="U37" s="207">
        <f t="shared" si="7"/>
        <v>300</v>
      </c>
      <c r="V37" s="74">
        <f>'[1]2022 Forecast'!O37</f>
        <v>866.03</v>
      </c>
      <c r="W37" s="208">
        <f t="shared" si="8"/>
        <v>566.03</v>
      </c>
      <c r="Y37" s="243"/>
    </row>
    <row r="38" spans="1:25" ht="15.75" customHeight="1" x14ac:dyDescent="0.3">
      <c r="A38" s="33"/>
      <c r="B38" s="33"/>
      <c r="C38" s="127"/>
      <c r="D38" s="45"/>
      <c r="E38" s="33"/>
      <c r="F38" s="33"/>
      <c r="G38" s="33"/>
      <c r="H38" s="3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70"/>
      <c r="V38" s="50"/>
      <c r="W38" s="82"/>
      <c r="Y38" s="243"/>
    </row>
    <row r="39" spans="1:25" ht="15.75" customHeight="1" x14ac:dyDescent="0.3">
      <c r="A39" s="33"/>
      <c r="B39" s="33"/>
      <c r="C39" s="127" t="str">
        <f>'[1]2022 Forecast'!C39</f>
        <v>Total Administrative Expenses</v>
      </c>
      <c r="D39" s="45"/>
      <c r="E39" s="33"/>
      <c r="F39" s="33"/>
      <c r="G39" s="33"/>
      <c r="H39" s="33"/>
      <c r="I39" s="44">
        <f t="shared" ref="I39:W39" si="10">SUM(I25:I38)</f>
        <v>1280.4161375114193</v>
      </c>
      <c r="J39" s="44">
        <f t="shared" si="10"/>
        <v>1173.9699903752905</v>
      </c>
      <c r="K39" s="44">
        <f t="shared" si="10"/>
        <v>1521.1245857193635</v>
      </c>
      <c r="L39" s="44">
        <f t="shared" si="10"/>
        <v>6716.1405320597469</v>
      </c>
      <c r="M39" s="44">
        <f t="shared" si="10"/>
        <v>2364.7382569070696</v>
      </c>
      <c r="N39" s="44">
        <f t="shared" si="10"/>
        <v>3360.0013470006406</v>
      </c>
      <c r="O39" s="44">
        <f t="shared" si="10"/>
        <v>1707.0013993572727</v>
      </c>
      <c r="P39" s="44">
        <f t="shared" si="10"/>
        <v>1307.0014071037149</v>
      </c>
      <c r="Q39" s="44">
        <f t="shared" si="10"/>
        <v>1407.001369251328</v>
      </c>
      <c r="R39" s="44">
        <f t="shared" si="10"/>
        <v>2119.0014224728229</v>
      </c>
      <c r="S39" s="44">
        <f t="shared" si="10"/>
        <v>1157.001384206993</v>
      </c>
      <c r="T39" s="44">
        <f t="shared" si="10"/>
        <v>1507.0014380098005</v>
      </c>
      <c r="U39" s="72">
        <f t="shared" si="10"/>
        <v>25620.39926997546</v>
      </c>
      <c r="V39" s="44">
        <f t="shared" si="10"/>
        <v>27017.001937546695</v>
      </c>
      <c r="W39" s="84">
        <f t="shared" si="10"/>
        <v>1396.6026675712365</v>
      </c>
      <c r="Y39" s="242">
        <f>V39-U39</f>
        <v>1396.6026675712346</v>
      </c>
    </row>
    <row r="40" spans="1:25" ht="15.75" customHeight="1" x14ac:dyDescent="0.3">
      <c r="A40" s="33"/>
      <c r="B40" s="33"/>
      <c r="C40" s="127"/>
      <c r="D40" s="45"/>
      <c r="E40" s="33"/>
      <c r="F40" s="33"/>
      <c r="G40" s="33"/>
      <c r="H40" s="33"/>
      <c r="I40" s="33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0"/>
      <c r="V40" s="50"/>
      <c r="W40" s="82"/>
      <c r="Y40" s="243"/>
    </row>
    <row r="41" spans="1:25" ht="15.75" customHeight="1" x14ac:dyDescent="0.3">
      <c r="A41" s="33"/>
      <c r="B41" s="33"/>
      <c r="C41" s="47" t="str">
        <f>'[1]2022 Forecast'!C41</f>
        <v>Maintenance &amp; Repairs</v>
      </c>
      <c r="D41" s="45"/>
      <c r="E41" s="33"/>
      <c r="F41" s="33"/>
      <c r="G41" s="33"/>
      <c r="H41" s="33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70"/>
      <c r="V41" s="50"/>
      <c r="W41" s="82"/>
      <c r="X41" s="33"/>
      <c r="Y41" s="243"/>
    </row>
    <row r="42" spans="1:25" ht="15.75" customHeight="1" x14ac:dyDescent="0.3">
      <c r="A42" s="33"/>
      <c r="B42" s="33"/>
      <c r="C42" s="127"/>
      <c r="D42" s="45" t="str">
        <f>'[1]2022 Forecast'!D42</f>
        <v>Electrical</v>
      </c>
      <c r="E42" s="33"/>
      <c r="F42" s="33"/>
      <c r="G42" s="33"/>
      <c r="H42" s="33"/>
      <c r="I42" s="42">
        <v>0</v>
      </c>
      <c r="J42" s="42">
        <v>0</v>
      </c>
      <c r="K42" s="42">
        <v>750</v>
      </c>
      <c r="L42" s="42">
        <v>500</v>
      </c>
      <c r="M42" s="42">
        <v>0</v>
      </c>
      <c r="N42" s="42">
        <v>1000</v>
      </c>
      <c r="O42" s="42">
        <v>0</v>
      </c>
      <c r="P42" s="42">
        <v>0</v>
      </c>
      <c r="Q42" s="42">
        <v>0</v>
      </c>
      <c r="R42" s="42">
        <v>750</v>
      </c>
      <c r="S42" s="42">
        <v>350</v>
      </c>
      <c r="T42" s="42">
        <v>0</v>
      </c>
      <c r="U42" s="70">
        <f t="shared" ref="U42:U47" si="11">SUM(I42:T42)</f>
        <v>3350</v>
      </c>
      <c r="V42" s="50">
        <f>'[1]2022 Forecast'!O42</f>
        <v>2644</v>
      </c>
      <c r="W42" s="82">
        <f t="shared" ref="W42:W47" si="12">V42-U42</f>
        <v>-706</v>
      </c>
      <c r="Y42" s="243"/>
    </row>
    <row r="43" spans="1:25" ht="15.75" customHeight="1" x14ac:dyDescent="0.3">
      <c r="A43" s="33"/>
      <c r="B43" s="33"/>
      <c r="C43" s="127"/>
      <c r="D43" s="45" t="str">
        <f>'[1]2022 Forecast'!D43</f>
        <v>Fences &amp; Gates</v>
      </c>
      <c r="E43" s="33"/>
      <c r="F43" s="33"/>
      <c r="G43" s="33"/>
      <c r="H43" s="170"/>
      <c r="I43" s="42">
        <v>0</v>
      </c>
      <c r="J43" s="42">
        <v>500</v>
      </c>
      <c r="K43" s="42">
        <v>0</v>
      </c>
      <c r="L43" s="42">
        <v>0</v>
      </c>
      <c r="M43" s="42">
        <v>500</v>
      </c>
      <c r="N43" s="42">
        <v>0</v>
      </c>
      <c r="O43" s="42">
        <v>500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70">
        <f t="shared" si="11"/>
        <v>1500</v>
      </c>
      <c r="V43" s="50">
        <f>'[1]2022 Forecast'!O43</f>
        <v>6840.6</v>
      </c>
      <c r="W43" s="82">
        <f t="shared" si="12"/>
        <v>5340.6</v>
      </c>
      <c r="Y43" s="243"/>
    </row>
    <row r="44" spans="1:25" ht="15.75" customHeight="1" x14ac:dyDescent="0.3">
      <c r="A44" s="33"/>
      <c r="B44" s="33"/>
      <c r="C44" s="127"/>
      <c r="D44" s="45" t="str">
        <f>'[1]2022 Forecast'!D44</f>
        <v>Plumbing</v>
      </c>
      <c r="E44" s="33"/>
      <c r="F44" s="33"/>
      <c r="G44" s="33"/>
      <c r="H44" s="170"/>
      <c r="I44" s="42">
        <v>0</v>
      </c>
      <c r="J44" s="42">
        <v>0</v>
      </c>
      <c r="K44" s="42">
        <v>0</v>
      </c>
      <c r="L44" s="42">
        <v>0</v>
      </c>
      <c r="M44" s="42">
        <v>500</v>
      </c>
      <c r="N44" s="42">
        <v>0</v>
      </c>
      <c r="O44" s="42">
        <v>500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70">
        <f t="shared" si="11"/>
        <v>1000</v>
      </c>
      <c r="V44" s="50">
        <f>'[1]2022 Forecast'!O44</f>
        <v>0</v>
      </c>
      <c r="W44" s="82">
        <f t="shared" si="12"/>
        <v>-1000</v>
      </c>
      <c r="Y44" s="243"/>
    </row>
    <row r="45" spans="1:25" ht="15.75" customHeight="1" x14ac:dyDescent="0.3">
      <c r="A45" s="33"/>
      <c r="B45" s="33"/>
      <c r="C45" s="127"/>
      <c r="D45" s="45" t="str">
        <f>'[1]2022 Forecast'!D45</f>
        <v>Rear walkways &amp; Common Park walkway</v>
      </c>
      <c r="E45" s="33"/>
      <c r="F45" s="33"/>
      <c r="G45" s="33"/>
      <c r="H45" s="33"/>
      <c r="I45" s="42">
        <v>0</v>
      </c>
      <c r="J45" s="42">
        <v>0</v>
      </c>
      <c r="K45" s="42">
        <v>0</v>
      </c>
      <c r="L45" s="42">
        <v>750</v>
      </c>
      <c r="M45" s="42">
        <v>0</v>
      </c>
      <c r="N45" s="42">
        <v>500</v>
      </c>
      <c r="O45" s="42">
        <v>0</v>
      </c>
      <c r="P45" s="42">
        <v>750</v>
      </c>
      <c r="Q45" s="42">
        <v>0</v>
      </c>
      <c r="R45" s="42">
        <v>500</v>
      </c>
      <c r="S45" s="42">
        <v>0</v>
      </c>
      <c r="T45" s="42">
        <v>0</v>
      </c>
      <c r="U45" s="70">
        <f t="shared" si="11"/>
        <v>2500</v>
      </c>
      <c r="V45" s="50">
        <f>'[1]2022 Forecast'!O45</f>
        <v>2827.71</v>
      </c>
      <c r="W45" s="82">
        <f t="shared" si="12"/>
        <v>327.71000000000004</v>
      </c>
      <c r="Y45" s="243"/>
    </row>
    <row r="46" spans="1:25" ht="15.75" customHeight="1" x14ac:dyDescent="0.3">
      <c r="A46" s="33"/>
      <c r="B46" s="33"/>
      <c r="C46" s="127"/>
      <c r="D46" s="45" t="str">
        <f>'[1]2022 Forecast'!D46</f>
        <v>Signs</v>
      </c>
      <c r="E46" s="33"/>
      <c r="F46" s="33"/>
      <c r="G46" s="33"/>
      <c r="H46" s="33"/>
      <c r="I46" s="42">
        <v>0</v>
      </c>
      <c r="J46" s="42">
        <v>0</v>
      </c>
      <c r="K46" s="42">
        <v>150</v>
      </c>
      <c r="L46" s="42">
        <v>0</v>
      </c>
      <c r="M46" s="42">
        <v>0</v>
      </c>
      <c r="N46" s="42">
        <v>300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70">
        <f t="shared" si="11"/>
        <v>450</v>
      </c>
      <c r="V46" s="50">
        <f>'[1]2022 Forecast'!O46</f>
        <v>304.13</v>
      </c>
      <c r="W46" s="82">
        <f t="shared" si="12"/>
        <v>-145.87</v>
      </c>
      <c r="Y46" s="243"/>
    </row>
    <row r="47" spans="1:25" ht="15.75" customHeight="1" x14ac:dyDescent="0.3">
      <c r="A47" s="33"/>
      <c r="B47" s="33"/>
      <c r="C47" s="127"/>
      <c r="D47" s="45" t="str">
        <f>'[1]2022 Forecast'!D47</f>
        <v>Tennis &amp; Basketball Courts</v>
      </c>
      <c r="E47" s="33"/>
      <c r="F47" s="33"/>
      <c r="G47" s="33"/>
      <c r="H47" s="33"/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500</v>
      </c>
      <c r="O47" s="42">
        <v>250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207">
        <f t="shared" si="11"/>
        <v>750</v>
      </c>
      <c r="V47" s="74">
        <f>'[1]2022 Forecast'!O47</f>
        <v>179.8</v>
      </c>
      <c r="W47" s="208">
        <f t="shared" si="12"/>
        <v>-570.20000000000005</v>
      </c>
      <c r="Y47" s="243"/>
    </row>
    <row r="48" spans="1:25" ht="15.75" customHeight="1" x14ac:dyDescent="0.3">
      <c r="A48" s="33"/>
      <c r="B48" s="33"/>
      <c r="C48" s="127"/>
      <c r="D48" s="45"/>
      <c r="E48" s="33"/>
      <c r="F48" s="33"/>
      <c r="G48" s="33"/>
      <c r="H48" s="33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46"/>
      <c r="U48" s="70"/>
      <c r="V48" s="50"/>
      <c r="W48" s="82"/>
      <c r="Y48" s="243"/>
    </row>
    <row r="49" spans="1:27" ht="15.75" customHeight="1" x14ac:dyDescent="0.3">
      <c r="A49" s="33"/>
      <c r="B49" s="33"/>
      <c r="C49" s="127" t="str">
        <f>'[1]2022 Forecast'!C49</f>
        <v>Total Maintenance &amp; repairs</v>
      </c>
      <c r="D49" s="45"/>
      <c r="E49" s="33"/>
      <c r="F49" s="33"/>
      <c r="G49" s="33"/>
      <c r="H49" s="33"/>
      <c r="I49" s="44">
        <f t="shared" ref="I49:W49" si="13">SUM(I42:I48)</f>
        <v>0</v>
      </c>
      <c r="J49" s="44">
        <f t="shared" si="13"/>
        <v>500</v>
      </c>
      <c r="K49" s="44">
        <f t="shared" si="13"/>
        <v>900</v>
      </c>
      <c r="L49" s="44">
        <f t="shared" si="13"/>
        <v>1250</v>
      </c>
      <c r="M49" s="44">
        <f t="shared" si="13"/>
        <v>1000</v>
      </c>
      <c r="N49" s="44">
        <f t="shared" si="13"/>
        <v>2300</v>
      </c>
      <c r="O49" s="44">
        <f t="shared" si="13"/>
        <v>1250</v>
      </c>
      <c r="P49" s="44">
        <f t="shared" si="13"/>
        <v>750</v>
      </c>
      <c r="Q49" s="44">
        <f t="shared" si="13"/>
        <v>0</v>
      </c>
      <c r="R49" s="44">
        <f t="shared" si="13"/>
        <v>1250</v>
      </c>
      <c r="S49" s="44">
        <f t="shared" si="13"/>
        <v>350</v>
      </c>
      <c r="T49" s="250">
        <f t="shared" si="13"/>
        <v>0</v>
      </c>
      <c r="U49" s="72">
        <f t="shared" si="13"/>
        <v>9550</v>
      </c>
      <c r="V49" s="44">
        <f t="shared" si="13"/>
        <v>12796.24</v>
      </c>
      <c r="W49" s="84">
        <f t="shared" si="13"/>
        <v>3246.2400000000007</v>
      </c>
      <c r="Y49" s="242">
        <f>V49-U49</f>
        <v>3246.24</v>
      </c>
    </row>
    <row r="50" spans="1:27" ht="15.75" customHeight="1" x14ac:dyDescent="0.3">
      <c r="A50" s="33"/>
      <c r="B50" s="33"/>
      <c r="C50" s="127"/>
      <c r="D50" s="45"/>
      <c r="E50" s="33"/>
      <c r="F50" s="33"/>
      <c r="G50" s="33"/>
      <c r="H50" s="33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70"/>
      <c r="V50" s="50"/>
      <c r="W50" s="82"/>
      <c r="Y50" s="243"/>
    </row>
    <row r="51" spans="1:27" ht="15.75" customHeight="1" x14ac:dyDescent="0.3">
      <c r="A51" s="33"/>
      <c r="B51" s="33"/>
      <c r="C51" s="47" t="str">
        <f>'[1]2022 Forecast'!C51</f>
        <v>Parks &amp; Grounds</v>
      </c>
      <c r="D51" s="45"/>
      <c r="E51" s="33"/>
      <c r="F51" s="33"/>
      <c r="G51" s="33"/>
      <c r="H51" s="33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70"/>
      <c r="V51" s="50"/>
      <c r="W51" s="82"/>
      <c r="Y51" s="243"/>
    </row>
    <row r="52" spans="1:27" ht="15.75" customHeight="1" x14ac:dyDescent="0.3">
      <c r="A52" s="33"/>
      <c r="B52" s="33"/>
      <c r="C52" s="45"/>
      <c r="D52" s="45" t="str">
        <f>'[1]2022 Forecast'!D52</f>
        <v>Keys &amp; Locksmith</v>
      </c>
      <c r="E52" s="33"/>
      <c r="F52" s="33"/>
      <c r="G52" s="33"/>
      <c r="H52" s="33"/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250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70">
        <f t="shared" ref="U52:U59" si="14">SUM(I52:T52)</f>
        <v>250</v>
      </c>
      <c r="V52" s="50">
        <f>'[1]2022 Forecast'!O52</f>
        <v>178.56</v>
      </c>
      <c r="W52" s="82">
        <f t="shared" ref="W52:W59" si="15">V52-U52</f>
        <v>-71.44</v>
      </c>
      <c r="Y52" s="243"/>
    </row>
    <row r="53" spans="1:27" ht="15.75" customHeight="1" x14ac:dyDescent="0.3">
      <c r="A53" s="33"/>
      <c r="B53" s="33"/>
      <c r="C53" s="45"/>
      <c r="D53" s="48" t="str">
        <f>'[1]2022 Forecast'!D53</f>
        <v>Landscaping (walkways &amp; shrubs)</v>
      </c>
      <c r="E53" s="33"/>
      <c r="F53" s="33"/>
      <c r="G53" s="33"/>
      <c r="H53" s="33"/>
      <c r="I53" s="42">
        <v>0</v>
      </c>
      <c r="J53" s="42">
        <v>0</v>
      </c>
      <c r="K53" s="42">
        <v>1500</v>
      </c>
      <c r="L53" s="42">
        <v>0</v>
      </c>
      <c r="M53" s="42">
        <v>500</v>
      </c>
      <c r="N53" s="42">
        <v>0</v>
      </c>
      <c r="O53" s="42">
        <v>0</v>
      </c>
      <c r="P53" s="42">
        <v>500</v>
      </c>
      <c r="Q53" s="42">
        <v>0</v>
      </c>
      <c r="R53" s="42">
        <v>500</v>
      </c>
      <c r="S53" s="42">
        <v>0</v>
      </c>
      <c r="T53" s="42">
        <v>0</v>
      </c>
      <c r="U53" s="70">
        <f t="shared" si="14"/>
        <v>3000</v>
      </c>
      <c r="V53" s="50">
        <f>'[1]2022 Forecast'!O53</f>
        <v>4780</v>
      </c>
      <c r="W53" s="82">
        <f t="shared" si="15"/>
        <v>1780</v>
      </c>
      <c r="Y53" s="243"/>
    </row>
    <row r="54" spans="1:27" ht="15.75" customHeight="1" x14ac:dyDescent="0.3">
      <c r="A54" s="33"/>
      <c r="B54" s="33"/>
      <c r="C54" s="45"/>
      <c r="D54" s="45" t="str">
        <f>'[1]2022 Forecast'!D54</f>
        <v>Lawn Mowing Service</v>
      </c>
      <c r="E54" s="33"/>
      <c r="F54" s="33"/>
      <c r="G54" s="33"/>
      <c r="H54" s="33"/>
      <c r="I54" s="42">
        <v>0</v>
      </c>
      <c r="J54" s="42">
        <v>850</v>
      </c>
      <c r="K54" s="42">
        <f>850*2</f>
        <v>1700</v>
      </c>
      <c r="L54" s="42">
        <f>K54</f>
        <v>1700</v>
      </c>
      <c r="M54" s="42">
        <f>L54</f>
        <v>1700</v>
      </c>
      <c r="N54" s="42">
        <f>J54*3</f>
        <v>2550</v>
      </c>
      <c r="O54" s="42">
        <f>N54</f>
        <v>2550</v>
      </c>
      <c r="P54" s="42">
        <f>850*2</f>
        <v>1700</v>
      </c>
      <c r="Q54" s="42">
        <f>P54</f>
        <v>1700</v>
      </c>
      <c r="R54" s="42">
        <f>Q54</f>
        <v>1700</v>
      </c>
      <c r="S54" s="42">
        <v>850</v>
      </c>
      <c r="T54" s="42">
        <f>850</f>
        <v>850</v>
      </c>
      <c r="U54" s="70">
        <f t="shared" si="14"/>
        <v>17850</v>
      </c>
      <c r="V54" s="50">
        <f>'[1]2022 Forecast'!O54</f>
        <v>15509.94</v>
      </c>
      <c r="W54" s="82">
        <f t="shared" si="15"/>
        <v>-2340.0599999999995</v>
      </c>
      <c r="Y54" s="243"/>
    </row>
    <row r="55" spans="1:27" ht="15.75" customHeight="1" x14ac:dyDescent="0.3">
      <c r="A55" s="33"/>
      <c r="B55" s="33"/>
      <c r="C55" s="45"/>
      <c r="D55" s="33" t="str">
        <f>'[1]2022 Forecast'!D55</f>
        <v>Misc. Arapaho Median</v>
      </c>
      <c r="E55" s="33"/>
      <c r="F55" s="33"/>
      <c r="G55" s="33"/>
      <c r="H55" s="33"/>
      <c r="I55" s="42">
        <v>0</v>
      </c>
      <c r="J55" s="42">
        <v>0</v>
      </c>
      <c r="K55" s="42">
        <v>0</v>
      </c>
      <c r="L55" s="42">
        <v>150</v>
      </c>
      <c r="M55" s="42">
        <v>0</v>
      </c>
      <c r="N55" s="42">
        <v>200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70">
        <f t="shared" si="14"/>
        <v>350</v>
      </c>
      <c r="V55" s="50">
        <f>'[1]2022 Forecast'!O55</f>
        <v>0</v>
      </c>
      <c r="W55" s="82">
        <f t="shared" si="15"/>
        <v>-350</v>
      </c>
      <c r="Y55" s="243"/>
    </row>
    <row r="56" spans="1:27" ht="15.75" customHeight="1" x14ac:dyDescent="0.3">
      <c r="A56" s="33"/>
      <c r="B56" s="33"/>
      <c r="C56" s="45"/>
      <c r="D56" s="45" t="str">
        <f>'[1]2022 Forecast'!D56</f>
        <v>Misc. P&amp;G</v>
      </c>
      <c r="E56" s="33"/>
      <c r="F56" s="33"/>
      <c r="G56" s="33"/>
      <c r="H56" s="33"/>
      <c r="I56" s="42">
        <v>0</v>
      </c>
      <c r="J56" s="42">
        <v>0</v>
      </c>
      <c r="K56" s="42">
        <v>0</v>
      </c>
      <c r="L56" s="42">
        <v>0</v>
      </c>
      <c r="M56" s="42">
        <v>750</v>
      </c>
      <c r="N56" s="42">
        <v>0</v>
      </c>
      <c r="O56" s="42">
        <v>0</v>
      </c>
      <c r="P56" s="42">
        <v>850</v>
      </c>
      <c r="Q56" s="42">
        <v>0</v>
      </c>
      <c r="R56" s="42">
        <v>0</v>
      </c>
      <c r="S56" s="42">
        <v>0</v>
      </c>
      <c r="T56" s="42">
        <v>0</v>
      </c>
      <c r="U56" s="70">
        <f t="shared" si="14"/>
        <v>1600</v>
      </c>
      <c r="V56" s="50">
        <f>'[1]2022 Forecast'!O56</f>
        <v>1667.52</v>
      </c>
      <c r="W56" s="82">
        <f t="shared" si="15"/>
        <v>67.519999999999982</v>
      </c>
      <c r="X56" s="33"/>
      <c r="Y56" s="243"/>
      <c r="Z56" s="33"/>
      <c r="AA56" s="33"/>
    </row>
    <row r="57" spans="1:27" ht="15.75" customHeight="1" x14ac:dyDescent="0.3">
      <c r="A57" s="33"/>
      <c r="B57" s="33"/>
      <c r="C57" s="45"/>
      <c r="D57" s="45" t="str">
        <f>'[1]2022 Forecast'!D57</f>
        <v>Tree Trimming</v>
      </c>
      <c r="E57" s="33"/>
      <c r="F57" s="33"/>
      <c r="G57" s="33"/>
      <c r="H57" s="33"/>
      <c r="I57" s="42">
        <v>1500</v>
      </c>
      <c r="J57" s="42">
        <v>0</v>
      </c>
      <c r="K57" s="42">
        <v>0</v>
      </c>
      <c r="L57" s="42">
        <v>1500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2500</v>
      </c>
      <c r="S57" s="42">
        <v>1500</v>
      </c>
      <c r="T57" s="42">
        <v>0</v>
      </c>
      <c r="U57" s="70">
        <f t="shared" si="14"/>
        <v>7000</v>
      </c>
      <c r="V57" s="50">
        <f>'[1]2022 Forecast'!O57</f>
        <v>7443.2</v>
      </c>
      <c r="W57" s="82">
        <f t="shared" si="15"/>
        <v>443.19999999999982</v>
      </c>
      <c r="Y57" s="243"/>
    </row>
    <row r="58" spans="1:27" ht="15.75" customHeight="1" x14ac:dyDescent="0.3">
      <c r="A58" s="33"/>
      <c r="B58" s="33"/>
      <c r="C58" s="45"/>
      <c r="D58" s="45" t="s">
        <v>144</v>
      </c>
      <c r="E58" s="33"/>
      <c r="F58" s="33"/>
      <c r="G58" s="33"/>
      <c r="H58" s="33"/>
      <c r="I58" s="42">
        <v>0</v>
      </c>
      <c r="J58" s="42">
        <v>0</v>
      </c>
      <c r="K58" s="42">
        <v>750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500</v>
      </c>
      <c r="S58" s="42">
        <v>0</v>
      </c>
      <c r="T58" s="42">
        <v>0</v>
      </c>
      <c r="U58" s="70">
        <f t="shared" si="14"/>
        <v>1250</v>
      </c>
      <c r="V58" s="50">
        <f>'[1]2022 Forecast'!O58</f>
        <v>1031.45</v>
      </c>
      <c r="W58" s="82">
        <f t="shared" si="15"/>
        <v>-218.54999999999995</v>
      </c>
      <c r="Y58" s="243"/>
    </row>
    <row r="59" spans="1:27" ht="15.75" customHeight="1" x14ac:dyDescent="0.3">
      <c r="A59" s="33"/>
      <c r="B59" s="33"/>
      <c r="C59" s="45"/>
      <c r="D59" s="33" t="str">
        <f>'[1]2022 Forecast'!D59</f>
        <v>Sprinkler Repair</v>
      </c>
      <c r="E59" s="33"/>
      <c r="F59" s="33"/>
      <c r="G59" s="33"/>
      <c r="H59" s="33"/>
      <c r="I59" s="206">
        <v>0</v>
      </c>
      <c r="J59" s="206">
        <v>0</v>
      </c>
      <c r="K59" s="206">
        <v>0</v>
      </c>
      <c r="L59" s="206">
        <v>500</v>
      </c>
      <c r="M59" s="206">
        <v>0</v>
      </c>
      <c r="N59" s="206">
        <v>500</v>
      </c>
      <c r="O59" s="206">
        <v>0</v>
      </c>
      <c r="P59" s="206">
        <v>0</v>
      </c>
      <c r="Q59" s="206">
        <v>500</v>
      </c>
      <c r="R59" s="206">
        <v>0</v>
      </c>
      <c r="S59" s="206">
        <v>0</v>
      </c>
      <c r="T59" s="206">
        <v>0</v>
      </c>
      <c r="U59" s="207">
        <f t="shared" si="14"/>
        <v>1500</v>
      </c>
      <c r="V59" s="74">
        <f>'[1]2022 Forecast'!O59</f>
        <v>1170</v>
      </c>
      <c r="W59" s="208">
        <f t="shared" si="15"/>
        <v>-330</v>
      </c>
      <c r="Y59" s="243"/>
    </row>
    <row r="60" spans="1:27" ht="15.75" customHeight="1" x14ac:dyDescent="0.3">
      <c r="A60" s="33"/>
      <c r="B60" s="33"/>
      <c r="C60" s="45"/>
      <c r="D60" s="45"/>
      <c r="E60" s="33"/>
      <c r="F60" s="33"/>
      <c r="G60" s="33"/>
      <c r="H60" s="33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0"/>
      <c r="V60" s="50"/>
      <c r="W60" s="82"/>
      <c r="Y60" s="243"/>
    </row>
    <row r="61" spans="1:27" ht="15.75" customHeight="1" x14ac:dyDescent="0.3">
      <c r="A61" s="33"/>
      <c r="B61" s="33"/>
      <c r="C61" s="47" t="str">
        <f>'[1]2022 Forecast'!C61</f>
        <v>Total Parks &amp; Grounds</v>
      </c>
      <c r="D61" s="45"/>
      <c r="E61" s="33"/>
      <c r="F61" s="33"/>
      <c r="G61" s="33"/>
      <c r="H61" s="33"/>
      <c r="I61" s="44">
        <f>SUM(I52:I60)</f>
        <v>1500</v>
      </c>
      <c r="J61" s="44">
        <f t="shared" ref="J61:W61" si="16">SUM(J52:J60)</f>
        <v>850</v>
      </c>
      <c r="K61" s="44">
        <f t="shared" si="16"/>
        <v>3950</v>
      </c>
      <c r="L61" s="44">
        <f t="shared" si="16"/>
        <v>3850</v>
      </c>
      <c r="M61" s="44">
        <f t="shared" si="16"/>
        <v>2950</v>
      </c>
      <c r="N61" s="44">
        <f t="shared" si="16"/>
        <v>3500</v>
      </c>
      <c r="O61" s="44">
        <f t="shared" si="16"/>
        <v>2550</v>
      </c>
      <c r="P61" s="44">
        <f t="shared" si="16"/>
        <v>3050</v>
      </c>
      <c r="Q61" s="44">
        <f t="shared" si="16"/>
        <v>2200</v>
      </c>
      <c r="R61" s="44">
        <f t="shared" si="16"/>
        <v>5200</v>
      </c>
      <c r="S61" s="44">
        <f t="shared" si="16"/>
        <v>2350</v>
      </c>
      <c r="T61" s="44">
        <f t="shared" si="16"/>
        <v>850</v>
      </c>
      <c r="U61" s="72">
        <f t="shared" si="16"/>
        <v>32800</v>
      </c>
      <c r="V61" s="44">
        <f t="shared" si="16"/>
        <v>31780.670000000002</v>
      </c>
      <c r="W61" s="84">
        <f t="shared" si="16"/>
        <v>-1019.3299999999997</v>
      </c>
      <c r="Y61" s="242">
        <f>V61-U61</f>
        <v>-1019.3299999999981</v>
      </c>
    </row>
    <row r="62" spans="1:27" ht="15.75" customHeight="1" x14ac:dyDescent="0.3">
      <c r="A62" s="33"/>
      <c r="B62" s="33"/>
      <c r="C62" s="127"/>
      <c r="D62" s="45"/>
      <c r="E62" s="33"/>
      <c r="F62" s="33"/>
      <c r="G62" s="33"/>
      <c r="H62" s="3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0"/>
      <c r="V62" s="50"/>
      <c r="W62" s="82"/>
      <c r="Y62" s="243"/>
    </row>
    <row r="63" spans="1:27" ht="15.75" customHeight="1" x14ac:dyDescent="0.3">
      <c r="A63" s="33"/>
      <c r="B63" s="33"/>
      <c r="C63" s="47" t="str">
        <f>'[1]2022 Forecast'!C63</f>
        <v>Pool Expense</v>
      </c>
      <c r="D63" s="45"/>
      <c r="E63" s="33"/>
      <c r="F63" s="33"/>
      <c r="G63" s="33"/>
      <c r="H63" s="33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70"/>
      <c r="V63" s="50"/>
      <c r="W63" s="82"/>
      <c r="Y63" s="243"/>
    </row>
    <row r="64" spans="1:27" ht="15.75" customHeight="1" x14ac:dyDescent="0.3">
      <c r="A64" s="33"/>
      <c r="B64" s="33"/>
      <c r="C64" s="33"/>
      <c r="D64" s="45" t="str">
        <f>'[1]2022 Forecast'!D64</f>
        <v>Chemicals</v>
      </c>
      <c r="E64" s="33"/>
      <c r="F64" s="33"/>
      <c r="G64" s="33"/>
      <c r="H64" s="33"/>
      <c r="I64" s="42">
        <v>0</v>
      </c>
      <c r="J64" s="42">
        <v>0</v>
      </c>
      <c r="K64" s="42">
        <v>0</v>
      </c>
      <c r="L64" s="42">
        <v>0</v>
      </c>
      <c r="M64" s="42">
        <v>600</v>
      </c>
      <c r="N64" s="42">
        <v>200</v>
      </c>
      <c r="O64" s="42">
        <v>600</v>
      </c>
      <c r="P64" s="42">
        <v>600</v>
      </c>
      <c r="Q64" s="42">
        <v>0</v>
      </c>
      <c r="R64" s="42">
        <v>0</v>
      </c>
      <c r="S64" s="42">
        <v>0</v>
      </c>
      <c r="T64" s="42">
        <v>250</v>
      </c>
      <c r="U64" s="70">
        <f t="shared" ref="U64:U65" si="17">SUM(I64:T64)</f>
        <v>2250</v>
      </c>
      <c r="V64" s="50">
        <f>'[1]2022 Forecast'!O64</f>
        <v>1809.28</v>
      </c>
      <c r="W64" s="82">
        <f t="shared" ref="W64:W69" si="18">V64-U64</f>
        <v>-440.72</v>
      </c>
      <c r="Y64" s="243"/>
    </row>
    <row r="65" spans="1:26" ht="15.75" customHeight="1" x14ac:dyDescent="0.3">
      <c r="A65" s="33"/>
      <c r="B65" s="33"/>
      <c r="C65" s="33"/>
      <c r="D65" s="48" t="str">
        <f>'[1]2022 Forecast'!D65</f>
        <v>Deck &amp; Pool Repair</v>
      </c>
      <c r="E65" s="33"/>
      <c r="F65" s="33"/>
      <c r="G65" s="33"/>
      <c r="H65" s="33"/>
      <c r="I65" s="42">
        <v>0</v>
      </c>
      <c r="J65" s="42">
        <v>0</v>
      </c>
      <c r="K65" s="42">
        <v>0</v>
      </c>
      <c r="L65" s="42">
        <v>1200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70">
        <f t="shared" si="17"/>
        <v>1200</v>
      </c>
      <c r="V65" s="50">
        <f>'[1]2022 Forecast'!O65</f>
        <v>4975</v>
      </c>
      <c r="W65" s="82">
        <f t="shared" si="18"/>
        <v>3775</v>
      </c>
      <c r="X65" s="33"/>
      <c r="Y65" s="243"/>
      <c r="Z65" s="33"/>
    </row>
    <row r="66" spans="1:26" ht="15.75" customHeight="1" x14ac:dyDescent="0.3">
      <c r="A66" s="33"/>
      <c r="B66" s="33"/>
      <c r="C66" s="33"/>
      <c r="D66" s="26"/>
      <c r="E66" s="47" t="str">
        <f>'[1]2022 Forecast'!E66</f>
        <v>Payroll Expenses</v>
      </c>
      <c r="F66" s="33"/>
      <c r="G66" s="33"/>
      <c r="H66" s="33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70"/>
      <c r="V66" s="50"/>
      <c r="W66" s="82">
        <f t="shared" si="18"/>
        <v>0</v>
      </c>
      <c r="Y66" s="243"/>
    </row>
    <row r="67" spans="1:26" ht="15.75" customHeight="1" x14ac:dyDescent="0.3">
      <c r="A67" s="33"/>
      <c r="B67" s="33"/>
      <c r="C67" s="33"/>
      <c r="D67" s="48"/>
      <c r="E67" s="26"/>
      <c r="F67" s="45" t="str">
        <f>'[1]2022 Forecast'!F67</f>
        <v>Contract - Attendant</v>
      </c>
      <c r="G67" s="33"/>
      <c r="H67" s="46"/>
      <c r="I67" s="42">
        <v>100</v>
      </c>
      <c r="J67" s="42">
        <v>100</v>
      </c>
      <c r="K67" s="42">
        <v>150</v>
      </c>
      <c r="L67" s="42">
        <v>100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150</v>
      </c>
      <c r="T67" s="42">
        <v>100</v>
      </c>
      <c r="U67" s="70">
        <f t="shared" ref="U67:U69" si="19">SUM(I67:T67)</f>
        <v>700</v>
      </c>
      <c r="V67" s="50">
        <f>'[1]2022 Forecast'!O67</f>
        <v>950</v>
      </c>
      <c r="W67" s="82">
        <f t="shared" si="18"/>
        <v>250</v>
      </c>
      <c r="Y67" s="243"/>
    </row>
    <row r="68" spans="1:26" ht="15.75" customHeight="1" x14ac:dyDescent="0.3">
      <c r="A68" s="33"/>
      <c r="B68" s="322"/>
      <c r="C68" s="33"/>
      <c r="D68" s="48"/>
      <c r="E68" s="26"/>
      <c r="F68" s="45" t="str">
        <f>'[1]2022 Forecast'!F68</f>
        <v>Processing Service</v>
      </c>
      <c r="G68" s="33"/>
      <c r="H68" s="33"/>
      <c r="I68" s="42">
        <v>0</v>
      </c>
      <c r="J68" s="42">
        <v>0</v>
      </c>
      <c r="K68" s="42">
        <v>0</v>
      </c>
      <c r="L68" s="42">
        <v>0</v>
      </c>
      <c r="M68" s="42">
        <v>60</v>
      </c>
      <c r="N68" s="42">
        <v>60</v>
      </c>
      <c r="O68" s="42">
        <v>60</v>
      </c>
      <c r="P68" s="42">
        <v>60</v>
      </c>
      <c r="Q68" s="42">
        <v>60</v>
      </c>
      <c r="R68" s="42">
        <v>60</v>
      </c>
      <c r="S68" s="42">
        <v>0</v>
      </c>
      <c r="T68" s="42">
        <v>0</v>
      </c>
      <c r="U68" s="70">
        <f t="shared" si="19"/>
        <v>360</v>
      </c>
      <c r="V68" s="50">
        <f>'[1]2022 Forecast'!O68</f>
        <v>325</v>
      </c>
      <c r="W68" s="82">
        <f t="shared" si="18"/>
        <v>-35</v>
      </c>
      <c r="Y68" s="243"/>
    </row>
    <row r="69" spans="1:26" ht="15.75" customHeight="1" x14ac:dyDescent="0.3">
      <c r="A69" s="33"/>
      <c r="B69" s="33"/>
      <c r="C69" s="33"/>
      <c r="D69" s="48"/>
      <c r="E69" s="26"/>
      <c r="F69" s="45" t="str">
        <f>'[1]2022 Forecast'!F69</f>
        <v>Wages for Attendant</v>
      </c>
      <c r="G69" s="33"/>
      <c r="H69" s="33"/>
      <c r="I69" s="206">
        <v>0</v>
      </c>
      <c r="J69" s="206">
        <v>0</v>
      </c>
      <c r="K69" s="206">
        <v>0</v>
      </c>
      <c r="L69" s="206">
        <v>0</v>
      </c>
      <c r="M69" s="74">
        <f>'[1]Pool Attendents'!G17</f>
        <v>702</v>
      </c>
      <c r="N69" s="74">
        <f>'[1]Pool Attendents'!H17</f>
        <v>2730</v>
      </c>
      <c r="O69" s="74">
        <f>'[1]Pool Attendents'!I17</f>
        <v>2821</v>
      </c>
      <c r="P69" s="74">
        <f>'[1]Pool Attendents'!J17</f>
        <v>2432.5655714285717</v>
      </c>
      <c r="Q69" s="74">
        <f>'[1]Pool Attendents'!K17</f>
        <v>1615.7142857142858</v>
      </c>
      <c r="R69" s="74">
        <f>'[1]Pool Attendents'!L17</f>
        <v>399.28571428571433</v>
      </c>
      <c r="S69" s="206">
        <v>0</v>
      </c>
      <c r="T69" s="206">
        <v>0</v>
      </c>
      <c r="U69" s="207">
        <f t="shared" si="19"/>
        <v>10700.565571428571</v>
      </c>
      <c r="V69" s="74">
        <f>'[1]2022 Forecast'!O69</f>
        <v>7742.6457142857153</v>
      </c>
      <c r="W69" s="208">
        <f t="shared" si="18"/>
        <v>-2957.919857142856</v>
      </c>
      <c r="Y69" s="243"/>
    </row>
    <row r="70" spans="1:26" ht="15.75" customHeight="1" x14ac:dyDescent="0.3">
      <c r="A70" s="33"/>
      <c r="B70" s="33"/>
      <c r="C70" s="33"/>
      <c r="D70" s="48"/>
      <c r="E70" s="45"/>
      <c r="F70" s="33"/>
      <c r="G70" s="33"/>
      <c r="H70" s="33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70"/>
      <c r="V70" s="50"/>
      <c r="W70" s="82"/>
      <c r="Y70" s="243"/>
    </row>
    <row r="71" spans="1:26" ht="15.75" customHeight="1" x14ac:dyDescent="0.3">
      <c r="A71" s="33"/>
      <c r="B71" s="33"/>
      <c r="C71" s="33"/>
      <c r="D71" s="48"/>
      <c r="E71" s="33"/>
      <c r="F71" s="47" t="str">
        <f>'[1]2022 Forecast'!F71</f>
        <v>Total Payroll Expenses</v>
      </c>
      <c r="G71" s="33"/>
      <c r="H71" s="33"/>
      <c r="I71" s="44">
        <f t="shared" ref="I71:W71" si="20">SUM(I67:I70)</f>
        <v>100</v>
      </c>
      <c r="J71" s="44">
        <f t="shared" si="20"/>
        <v>100</v>
      </c>
      <c r="K71" s="44">
        <f t="shared" si="20"/>
        <v>150</v>
      </c>
      <c r="L71" s="44">
        <f t="shared" si="20"/>
        <v>100</v>
      </c>
      <c r="M71" s="44">
        <f t="shared" si="20"/>
        <v>762</v>
      </c>
      <c r="N71" s="44">
        <f t="shared" si="20"/>
        <v>2790</v>
      </c>
      <c r="O71" s="44">
        <f t="shared" si="20"/>
        <v>2881</v>
      </c>
      <c r="P71" s="44">
        <f t="shared" si="20"/>
        <v>2492.5655714285717</v>
      </c>
      <c r="Q71" s="44">
        <f t="shared" si="20"/>
        <v>1675.7142857142858</v>
      </c>
      <c r="R71" s="44">
        <f t="shared" si="20"/>
        <v>459.28571428571433</v>
      </c>
      <c r="S71" s="44">
        <f t="shared" si="20"/>
        <v>150</v>
      </c>
      <c r="T71" s="44">
        <f t="shared" si="20"/>
        <v>100</v>
      </c>
      <c r="U71" s="72">
        <f t="shared" si="20"/>
        <v>11760.565571428571</v>
      </c>
      <c r="V71" s="44">
        <f t="shared" si="20"/>
        <v>9017.6457142857143</v>
      </c>
      <c r="W71" s="84">
        <f t="shared" si="20"/>
        <v>-2742.919857142856</v>
      </c>
      <c r="Y71" s="242">
        <f>V71-U71</f>
        <v>-2742.9198571428569</v>
      </c>
    </row>
    <row r="72" spans="1:26" ht="15.75" customHeight="1" x14ac:dyDescent="0.3">
      <c r="A72" s="33"/>
      <c r="B72" s="33"/>
      <c r="C72" s="33"/>
      <c r="D72" s="26"/>
      <c r="E72" s="45" t="str">
        <f>'[1]2022 Forecast'!E72</f>
        <v>Permits &amp; License Reqmts - incl. safety course</v>
      </c>
      <c r="F72" s="47"/>
      <c r="G72" s="33"/>
      <c r="H72" s="33" t="s">
        <v>140</v>
      </c>
      <c r="I72" s="42">
        <v>0</v>
      </c>
      <c r="J72" s="42">
        <v>0</v>
      </c>
      <c r="K72" s="42">
        <v>150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70">
        <f t="shared" ref="U72:U76" si="21">SUM(I72:T72)</f>
        <v>150</v>
      </c>
      <c r="V72" s="50">
        <f>'[1]2022 Forecast'!O72</f>
        <v>0</v>
      </c>
      <c r="W72" s="82">
        <f t="shared" ref="W72:W76" si="22">V72-U72</f>
        <v>-150</v>
      </c>
      <c r="Y72" s="242"/>
    </row>
    <row r="73" spans="1:26" ht="15.75" customHeight="1" x14ac:dyDescent="0.3">
      <c r="A73" s="33"/>
      <c r="B73" s="33"/>
      <c r="C73" s="33"/>
      <c r="D73" s="48"/>
      <c r="E73" s="45" t="str">
        <f>'[1]2022 Forecast'!E73</f>
        <v>Pool Cleaning Service</v>
      </c>
      <c r="F73" s="47"/>
      <c r="G73" s="33"/>
      <c r="H73" s="33"/>
      <c r="I73" s="42">
        <v>150</v>
      </c>
      <c r="J73" s="42">
        <v>0</v>
      </c>
      <c r="K73" s="42">
        <v>0</v>
      </c>
      <c r="L73" s="42">
        <v>150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150</v>
      </c>
      <c r="T73" s="42">
        <v>0</v>
      </c>
      <c r="U73" s="70">
        <f t="shared" si="21"/>
        <v>450</v>
      </c>
      <c r="V73" s="50">
        <f>'[1]2022 Forecast'!O73</f>
        <v>240</v>
      </c>
      <c r="W73" s="82">
        <f t="shared" si="22"/>
        <v>-210</v>
      </c>
      <c r="Y73" s="243"/>
    </row>
    <row r="74" spans="1:26" ht="15.75" customHeight="1" x14ac:dyDescent="0.3">
      <c r="A74" s="33"/>
      <c r="B74" s="33"/>
      <c r="C74" s="33"/>
      <c r="D74" s="48"/>
      <c r="E74" s="45" t="str">
        <f>'[1]2022 Forecast'!E74</f>
        <v>Pool Furniture</v>
      </c>
      <c r="F74" s="47"/>
      <c r="G74" s="33"/>
      <c r="H74" s="33"/>
      <c r="I74" s="42">
        <v>0</v>
      </c>
      <c r="J74" s="42">
        <v>0</v>
      </c>
      <c r="K74" s="42">
        <v>0</v>
      </c>
      <c r="L74" s="42">
        <v>0</v>
      </c>
      <c r="M74" s="42">
        <v>250</v>
      </c>
      <c r="N74" s="42">
        <v>0</v>
      </c>
      <c r="O74" s="42">
        <v>100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70">
        <f t="shared" si="21"/>
        <v>350</v>
      </c>
      <c r="V74" s="50">
        <f>'[1]2022 Forecast'!O74</f>
        <v>0</v>
      </c>
      <c r="W74" s="82">
        <f t="shared" si="22"/>
        <v>-350</v>
      </c>
      <c r="Y74" s="243"/>
    </row>
    <row r="75" spans="1:26" ht="15.75" customHeight="1" x14ac:dyDescent="0.3">
      <c r="A75" s="33"/>
      <c r="B75" s="33"/>
      <c r="C75" s="33"/>
      <c r="D75" s="48"/>
      <c r="E75" s="45" t="str">
        <f>'[1]2022 Forecast'!E75</f>
        <v>Repairs</v>
      </c>
      <c r="F75" s="47"/>
      <c r="G75" s="33"/>
      <c r="H75" s="33"/>
      <c r="I75" s="42">
        <v>0</v>
      </c>
      <c r="J75" s="42">
        <v>0</v>
      </c>
      <c r="K75" s="42">
        <v>0</v>
      </c>
      <c r="L75" s="42">
        <v>1000</v>
      </c>
      <c r="M75" s="42">
        <v>0</v>
      </c>
      <c r="N75" s="42">
        <v>0</v>
      </c>
      <c r="O75" s="42">
        <v>0</v>
      </c>
      <c r="P75" s="42">
        <v>0</v>
      </c>
      <c r="Q75" s="42">
        <v>1250</v>
      </c>
      <c r="R75" s="42">
        <v>0</v>
      </c>
      <c r="S75" s="42">
        <v>0</v>
      </c>
      <c r="T75" s="42">
        <v>0</v>
      </c>
      <c r="U75" s="70">
        <f t="shared" si="21"/>
        <v>2250</v>
      </c>
      <c r="V75" s="50">
        <f>'[1]2022 Forecast'!O75</f>
        <v>2781.34</v>
      </c>
      <c r="W75" s="82">
        <f t="shared" si="22"/>
        <v>531.34000000000015</v>
      </c>
      <c r="Y75" s="243"/>
    </row>
    <row r="76" spans="1:26" ht="15.75" customHeight="1" x14ac:dyDescent="0.3">
      <c r="A76" s="33"/>
      <c r="B76" s="33"/>
      <c r="C76" s="33"/>
      <c r="D76" s="26"/>
      <c r="E76" s="45" t="str">
        <f>'[1]2022 Forecast'!E76</f>
        <v>Supplies</v>
      </c>
      <c r="F76" s="33"/>
      <c r="G76" s="33"/>
      <c r="H76" s="33"/>
      <c r="I76" s="206">
        <v>0</v>
      </c>
      <c r="J76" s="206">
        <v>0</v>
      </c>
      <c r="K76" s="206">
        <v>0</v>
      </c>
      <c r="L76" s="206">
        <v>50</v>
      </c>
      <c r="M76" s="206">
        <v>50</v>
      </c>
      <c r="N76" s="206">
        <v>50</v>
      </c>
      <c r="O76" s="206">
        <v>50</v>
      </c>
      <c r="P76" s="206">
        <v>50</v>
      </c>
      <c r="Q76" s="206">
        <v>0</v>
      </c>
      <c r="R76" s="206">
        <v>0</v>
      </c>
      <c r="S76" s="206">
        <v>0</v>
      </c>
      <c r="T76" s="206">
        <v>0</v>
      </c>
      <c r="U76" s="207">
        <f t="shared" si="21"/>
        <v>250</v>
      </c>
      <c r="V76" s="74">
        <f>'[1]2022 Forecast'!O76</f>
        <v>227.7</v>
      </c>
      <c r="W76" s="208">
        <f t="shared" si="22"/>
        <v>-22.300000000000011</v>
      </c>
      <c r="Y76" s="243"/>
    </row>
    <row r="77" spans="1:26" ht="15.75" customHeight="1" x14ac:dyDescent="0.3">
      <c r="A77" s="33"/>
      <c r="B77" s="33"/>
      <c r="C77" s="33"/>
      <c r="D77" s="26"/>
      <c r="E77" s="33"/>
      <c r="F77" s="33"/>
      <c r="G77" s="33"/>
      <c r="H77" s="33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70"/>
      <c r="V77" s="50"/>
      <c r="W77" s="82"/>
      <c r="Y77" s="243"/>
    </row>
    <row r="78" spans="1:26" ht="15.75" customHeight="1" x14ac:dyDescent="0.3">
      <c r="A78" s="33"/>
      <c r="B78" s="33"/>
      <c r="C78" s="33"/>
      <c r="D78" s="47" t="str">
        <f>'[1]2022 Forecast'!D78</f>
        <v>Total Pool Expense</v>
      </c>
      <c r="E78" s="33"/>
      <c r="F78" s="33"/>
      <c r="G78" s="33"/>
      <c r="H78" s="33"/>
      <c r="I78" s="44">
        <f t="shared" ref="I78:W78" si="23">SUM(I64:I65,I71:I76)</f>
        <v>250</v>
      </c>
      <c r="J78" s="44">
        <f t="shared" si="23"/>
        <v>100</v>
      </c>
      <c r="K78" s="44">
        <f t="shared" si="23"/>
        <v>300</v>
      </c>
      <c r="L78" s="44">
        <f t="shared" si="23"/>
        <v>2500</v>
      </c>
      <c r="M78" s="44">
        <f t="shared" si="23"/>
        <v>1662</v>
      </c>
      <c r="N78" s="44">
        <f t="shared" si="23"/>
        <v>3040</v>
      </c>
      <c r="O78" s="44">
        <f t="shared" si="23"/>
        <v>3631</v>
      </c>
      <c r="P78" s="44">
        <f t="shared" si="23"/>
        <v>3142.5655714285717</v>
      </c>
      <c r="Q78" s="44">
        <f t="shared" si="23"/>
        <v>2925.7142857142858</v>
      </c>
      <c r="R78" s="44">
        <f t="shared" si="23"/>
        <v>459.28571428571433</v>
      </c>
      <c r="S78" s="44">
        <f t="shared" si="23"/>
        <v>300</v>
      </c>
      <c r="T78" s="44">
        <f t="shared" si="23"/>
        <v>350</v>
      </c>
      <c r="U78" s="72">
        <f t="shared" si="23"/>
        <v>18660.565571428571</v>
      </c>
      <c r="V78" s="44">
        <f t="shared" si="23"/>
        <v>19050.965714285714</v>
      </c>
      <c r="W78" s="84">
        <f t="shared" si="23"/>
        <v>390.40014285714386</v>
      </c>
      <c r="X78" s="33"/>
      <c r="Y78" s="242">
        <f>V78-U78</f>
        <v>390.40014285714278</v>
      </c>
    </row>
    <row r="79" spans="1:26" ht="15.75" customHeight="1" x14ac:dyDescent="0.3">
      <c r="A79" s="33"/>
      <c r="B79" s="33"/>
      <c r="C79" s="33"/>
      <c r="D79" s="26"/>
      <c r="E79" s="33"/>
      <c r="F79" s="33"/>
      <c r="G79" s="33"/>
      <c r="H79" s="33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70"/>
      <c r="V79" s="50"/>
      <c r="W79" s="82"/>
      <c r="X79" s="33"/>
      <c r="Y79" s="243"/>
    </row>
    <row r="80" spans="1:26" ht="15.75" customHeight="1" x14ac:dyDescent="0.3">
      <c r="A80" s="33"/>
      <c r="B80" s="33"/>
      <c r="C80" s="33"/>
      <c r="D80" s="47" t="str">
        <f>'[1]2022 Forecast'!D80</f>
        <v>Property Management Expenses</v>
      </c>
      <c r="E80" s="33"/>
      <c r="F80" s="33"/>
      <c r="G80" s="33"/>
      <c r="H80" s="164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70"/>
      <c r="V80" s="50"/>
      <c r="W80" s="82"/>
      <c r="X80" s="33"/>
      <c r="Y80" s="243"/>
    </row>
    <row r="81" spans="1:25" ht="15.75" customHeight="1" x14ac:dyDescent="0.3">
      <c r="A81" s="33"/>
      <c r="B81" s="33"/>
      <c r="C81" s="33"/>
      <c r="D81" s="45"/>
      <c r="E81" s="45" t="str">
        <f>'[1]2022 Forecast'!E81</f>
        <v>Monthly Service Management Fee</v>
      </c>
      <c r="F81" s="33"/>
      <c r="G81" s="33"/>
      <c r="H81" s="164"/>
      <c r="I81" s="42">
        <v>985</v>
      </c>
      <c r="J81" s="42">
        <v>985</v>
      </c>
      <c r="K81" s="42">
        <v>985</v>
      </c>
      <c r="L81" s="42">
        <v>985</v>
      </c>
      <c r="M81" s="42">
        <v>985</v>
      </c>
      <c r="N81" s="42">
        <v>985</v>
      </c>
      <c r="O81" s="42">
        <v>985</v>
      </c>
      <c r="P81" s="42">
        <v>985</v>
      </c>
      <c r="Q81" s="42">
        <v>985</v>
      </c>
      <c r="R81" s="42">
        <v>985</v>
      </c>
      <c r="S81" s="42">
        <v>985</v>
      </c>
      <c r="T81" s="42">
        <v>985</v>
      </c>
      <c r="U81" s="70">
        <f t="shared" ref="U81:U84" si="24">SUM(I81:T81)</f>
        <v>11820</v>
      </c>
      <c r="V81" s="50">
        <f>'[1]2022 Forecast'!O81</f>
        <v>10382</v>
      </c>
      <c r="W81" s="82">
        <f t="shared" ref="W81:W84" si="25">V81-U81</f>
        <v>-1438</v>
      </c>
      <c r="Y81" s="243"/>
    </row>
    <row r="82" spans="1:25" ht="15.75" customHeight="1" x14ac:dyDescent="0.3">
      <c r="A82" s="33"/>
      <c r="B82" s="33"/>
      <c r="C82" s="33"/>
      <c r="D82" s="45"/>
      <c r="E82" s="45" t="str">
        <f>'[1]2022 Forecast'!E82</f>
        <v>Payroll Preparation</v>
      </c>
      <c r="F82" s="33"/>
      <c r="G82" s="33"/>
      <c r="H82" s="163"/>
      <c r="I82" s="42">
        <v>0</v>
      </c>
      <c r="J82" s="42">
        <v>0</v>
      </c>
      <c r="K82" s="42">
        <v>0</v>
      </c>
      <c r="L82" s="42">
        <v>0</v>
      </c>
      <c r="M82" s="42">
        <v>50</v>
      </c>
      <c r="N82" s="42">
        <v>50</v>
      </c>
      <c r="O82" s="42">
        <v>50</v>
      </c>
      <c r="P82" s="42">
        <v>50</v>
      </c>
      <c r="Q82" s="42">
        <v>50</v>
      </c>
      <c r="R82" s="42">
        <v>50</v>
      </c>
      <c r="S82" s="42">
        <v>0</v>
      </c>
      <c r="T82" s="42">
        <v>0</v>
      </c>
      <c r="U82" s="70">
        <f t="shared" si="24"/>
        <v>300</v>
      </c>
      <c r="V82" s="50">
        <f>'[1]2022 Forecast'!O82</f>
        <v>200</v>
      </c>
      <c r="W82" s="82">
        <f t="shared" si="25"/>
        <v>-100</v>
      </c>
      <c r="Y82" s="243"/>
    </row>
    <row r="83" spans="1:25" ht="15.75" customHeight="1" x14ac:dyDescent="0.3">
      <c r="A83" s="33"/>
      <c r="B83" s="33"/>
      <c r="C83" s="33"/>
      <c r="D83" s="45"/>
      <c r="E83" s="45" t="str">
        <f>'[1]2022 Forecast'!E83</f>
        <v>Project Management Fee</v>
      </c>
      <c r="F83" s="33"/>
      <c r="G83" s="33"/>
      <c r="H83" s="249">
        <v>0.1</v>
      </c>
      <c r="I83" s="50">
        <f t="shared" ref="I83:K83" si="26">$H$83*I75</f>
        <v>0</v>
      </c>
      <c r="J83" s="50">
        <f t="shared" si="26"/>
        <v>0</v>
      </c>
      <c r="K83" s="50">
        <f t="shared" si="26"/>
        <v>0</v>
      </c>
      <c r="L83" s="50">
        <f>$H$83*L75</f>
        <v>100</v>
      </c>
      <c r="M83" s="50">
        <f t="shared" ref="M83:T83" si="27">$H$83*M75</f>
        <v>0</v>
      </c>
      <c r="N83" s="50">
        <f t="shared" si="27"/>
        <v>0</v>
      </c>
      <c r="O83" s="50">
        <f t="shared" si="27"/>
        <v>0</v>
      </c>
      <c r="P83" s="50">
        <f t="shared" si="27"/>
        <v>0</v>
      </c>
      <c r="Q83" s="50">
        <f t="shared" si="27"/>
        <v>125</v>
      </c>
      <c r="R83" s="50">
        <f t="shared" si="27"/>
        <v>0</v>
      </c>
      <c r="S83" s="50">
        <f t="shared" si="27"/>
        <v>0</v>
      </c>
      <c r="T83" s="50">
        <f t="shared" si="27"/>
        <v>0</v>
      </c>
      <c r="U83" s="70">
        <f t="shared" si="24"/>
        <v>225</v>
      </c>
      <c r="V83" s="50">
        <f>'[1]2022 Forecast'!O83</f>
        <v>914.5</v>
      </c>
      <c r="W83" s="82">
        <f t="shared" si="25"/>
        <v>689.5</v>
      </c>
      <c r="Y83" s="243"/>
    </row>
    <row r="84" spans="1:25" ht="15.75" customHeight="1" x14ac:dyDescent="0.3">
      <c r="A84" s="33"/>
      <c r="B84" s="33"/>
      <c r="C84" s="33"/>
      <c r="D84" s="45"/>
      <c r="E84" s="45" t="str">
        <f>'[1]2022 Forecast'!E84</f>
        <v>Resale Certificate Fee</v>
      </c>
      <c r="F84" s="33"/>
      <c r="G84" s="33"/>
      <c r="H84" s="322"/>
      <c r="I84" s="50">
        <f>IF(I19=0,0,150)</f>
        <v>0</v>
      </c>
      <c r="J84" s="50">
        <f t="shared" ref="J84:T84" si="28">IF(J19=0,0,150)</f>
        <v>0</v>
      </c>
      <c r="K84" s="50">
        <f t="shared" si="28"/>
        <v>150</v>
      </c>
      <c r="L84" s="50">
        <f t="shared" si="28"/>
        <v>150</v>
      </c>
      <c r="M84" s="50">
        <f t="shared" si="28"/>
        <v>0</v>
      </c>
      <c r="N84" s="50">
        <f t="shared" si="28"/>
        <v>150</v>
      </c>
      <c r="O84" s="50">
        <f t="shared" si="28"/>
        <v>0</v>
      </c>
      <c r="P84" s="50">
        <f t="shared" si="28"/>
        <v>0</v>
      </c>
      <c r="Q84" s="50">
        <f t="shared" si="28"/>
        <v>150</v>
      </c>
      <c r="R84" s="50">
        <f t="shared" si="28"/>
        <v>0</v>
      </c>
      <c r="S84" s="50">
        <f t="shared" si="28"/>
        <v>0</v>
      </c>
      <c r="T84" s="50">
        <f t="shared" si="28"/>
        <v>0</v>
      </c>
      <c r="U84" s="70">
        <f t="shared" si="24"/>
        <v>600</v>
      </c>
      <c r="V84" s="50">
        <f>'[1]2022 Forecast'!O84</f>
        <v>600</v>
      </c>
      <c r="W84" s="82">
        <f t="shared" si="25"/>
        <v>0</v>
      </c>
      <c r="Y84" s="243"/>
    </row>
    <row r="85" spans="1:25" ht="15.75" customHeight="1" x14ac:dyDescent="0.3">
      <c r="A85" s="33"/>
      <c r="B85" s="33"/>
      <c r="C85" s="33"/>
      <c r="D85" s="45"/>
      <c r="E85" s="45"/>
      <c r="F85" s="33"/>
      <c r="G85" s="33"/>
      <c r="H85" s="3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71"/>
      <c r="V85" s="80"/>
      <c r="W85" s="83"/>
      <c r="Y85" s="243"/>
    </row>
    <row r="86" spans="1:25" ht="15.75" customHeight="1" x14ac:dyDescent="0.3">
      <c r="A86" s="33"/>
      <c r="B86" s="33"/>
      <c r="C86" s="33"/>
      <c r="D86" s="47" t="str">
        <f>'[1]2022 Forecast'!D86</f>
        <v>Total - Property Management Expenses</v>
      </c>
      <c r="E86" s="33"/>
      <c r="F86" s="33"/>
      <c r="G86" s="33"/>
      <c r="H86" s="33"/>
      <c r="I86" s="44">
        <f>SUM(I81:I85)</f>
        <v>985</v>
      </c>
      <c r="J86" s="44">
        <f t="shared" ref="J86:W86" si="29">SUM(J81:J85)</f>
        <v>985</v>
      </c>
      <c r="K86" s="44">
        <f t="shared" si="29"/>
        <v>1135</v>
      </c>
      <c r="L86" s="44">
        <f t="shared" si="29"/>
        <v>1235</v>
      </c>
      <c r="M86" s="44">
        <f t="shared" si="29"/>
        <v>1035</v>
      </c>
      <c r="N86" s="44">
        <f t="shared" si="29"/>
        <v>1185</v>
      </c>
      <c r="O86" s="44">
        <f t="shared" si="29"/>
        <v>1035</v>
      </c>
      <c r="P86" s="44">
        <f t="shared" si="29"/>
        <v>1035</v>
      </c>
      <c r="Q86" s="44">
        <f t="shared" si="29"/>
        <v>1310</v>
      </c>
      <c r="R86" s="44">
        <f t="shared" si="29"/>
        <v>1035</v>
      </c>
      <c r="S86" s="44">
        <f t="shared" si="29"/>
        <v>985</v>
      </c>
      <c r="T86" s="44">
        <f t="shared" si="29"/>
        <v>985</v>
      </c>
      <c r="U86" s="72">
        <f t="shared" si="29"/>
        <v>12945</v>
      </c>
      <c r="V86" s="44">
        <f t="shared" si="29"/>
        <v>12096.5</v>
      </c>
      <c r="W86" s="84">
        <f t="shared" si="29"/>
        <v>-848.5</v>
      </c>
      <c r="Y86" s="242">
        <f>V86-U86</f>
        <v>-848.5</v>
      </c>
    </row>
    <row r="87" spans="1:25" ht="15.75" customHeight="1" x14ac:dyDescent="0.3">
      <c r="A87" s="33"/>
      <c r="B87" s="33"/>
      <c r="C87" s="33"/>
      <c r="D87" s="45"/>
      <c r="E87" s="33"/>
      <c r="F87" s="33"/>
      <c r="G87" s="33"/>
      <c r="H87" s="33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70"/>
      <c r="V87" s="50"/>
      <c r="W87" s="82"/>
      <c r="Y87" s="243"/>
    </row>
    <row r="88" spans="1:25" ht="15.75" customHeight="1" x14ac:dyDescent="0.3">
      <c r="A88" s="33"/>
      <c r="B88" s="33"/>
      <c r="C88" s="33"/>
      <c r="D88" s="47" t="str">
        <f>'[1]2022 Forecast'!D88</f>
        <v>Utilities</v>
      </c>
      <c r="E88" s="45"/>
      <c r="F88" s="33"/>
      <c r="G88" s="33"/>
      <c r="H88" s="33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70"/>
      <c r="V88" s="50"/>
      <c r="W88" s="82"/>
      <c r="Y88" s="243"/>
    </row>
    <row r="89" spans="1:25" ht="15.75" customHeight="1" x14ac:dyDescent="0.3">
      <c r="A89" s="33"/>
      <c r="B89" s="33"/>
      <c r="C89" s="33"/>
      <c r="D89" s="47"/>
      <c r="E89" s="33" t="str">
        <f>'[1]2022 Forecast'!E89</f>
        <v>AT&amp;T</v>
      </c>
      <c r="F89" s="33"/>
      <c r="G89" s="33"/>
      <c r="H89" s="33"/>
      <c r="I89" s="42">
        <v>80</v>
      </c>
      <c r="J89" s="42">
        <v>80</v>
      </c>
      <c r="K89" s="42">
        <v>80</v>
      </c>
      <c r="L89" s="42">
        <v>80</v>
      </c>
      <c r="M89" s="42">
        <v>80</v>
      </c>
      <c r="N89" s="42">
        <v>80</v>
      </c>
      <c r="O89" s="42">
        <v>80</v>
      </c>
      <c r="P89" s="42">
        <v>80</v>
      </c>
      <c r="Q89" s="42">
        <v>80</v>
      </c>
      <c r="R89" s="42">
        <v>80</v>
      </c>
      <c r="S89" s="42">
        <v>80</v>
      </c>
      <c r="T89" s="42">
        <v>80</v>
      </c>
      <c r="U89" s="70">
        <f t="shared" ref="U89:U92" si="30">SUM(I89:T89)</f>
        <v>960</v>
      </c>
      <c r="V89" s="50">
        <f>'[1]2022 Forecast'!O89</f>
        <v>240</v>
      </c>
      <c r="W89" s="82">
        <f t="shared" ref="W89:W92" si="31">V89-U89</f>
        <v>-720</v>
      </c>
      <c r="Y89" s="243"/>
    </row>
    <row r="90" spans="1:25" ht="15.75" customHeight="1" x14ac:dyDescent="0.3">
      <c r="A90" s="33"/>
      <c r="B90" s="33"/>
      <c r="C90" s="33"/>
      <c r="D90" s="47"/>
      <c r="E90" s="33" t="str">
        <f>'[1]2022 Forecast'!E90</f>
        <v>Arapaho W&amp;S</v>
      </c>
      <c r="F90" s="33"/>
      <c r="G90" s="33"/>
      <c r="H90" s="33"/>
      <c r="I90" s="42">
        <f>5.46*6</f>
        <v>32.76</v>
      </c>
      <c r="J90" s="50">
        <f>I90</f>
        <v>32.76</v>
      </c>
      <c r="K90" s="50">
        <f t="shared" ref="K90:T90" si="32">J90</f>
        <v>32.76</v>
      </c>
      <c r="L90" s="50">
        <f t="shared" si="32"/>
        <v>32.76</v>
      </c>
      <c r="M90" s="50">
        <f t="shared" si="32"/>
        <v>32.76</v>
      </c>
      <c r="N90" s="50">
        <f t="shared" si="32"/>
        <v>32.76</v>
      </c>
      <c r="O90" s="50">
        <f t="shared" si="32"/>
        <v>32.76</v>
      </c>
      <c r="P90" s="50">
        <f t="shared" si="32"/>
        <v>32.76</v>
      </c>
      <c r="Q90" s="50">
        <f t="shared" si="32"/>
        <v>32.76</v>
      </c>
      <c r="R90" s="50">
        <f t="shared" si="32"/>
        <v>32.76</v>
      </c>
      <c r="S90" s="50">
        <f t="shared" si="32"/>
        <v>32.76</v>
      </c>
      <c r="T90" s="50">
        <f t="shared" si="32"/>
        <v>32.76</v>
      </c>
      <c r="U90" s="70">
        <f t="shared" si="30"/>
        <v>393.11999999999995</v>
      </c>
      <c r="V90" s="50">
        <f>'[1]2022 Forecast'!O90</f>
        <v>753.08999999999992</v>
      </c>
      <c r="W90" s="82">
        <f t="shared" si="31"/>
        <v>359.96999999999997</v>
      </c>
      <c r="Y90" s="243"/>
    </row>
    <row r="91" spans="1:25" ht="15.75" customHeight="1" x14ac:dyDescent="0.3">
      <c r="A91" s="33"/>
      <c r="B91" s="33"/>
      <c r="C91" s="33"/>
      <c r="D91" s="33"/>
      <c r="E91" s="45" t="str">
        <f>'[1]2022 Forecast'!E91</f>
        <v>Electric</v>
      </c>
      <c r="F91" s="33"/>
      <c r="G91" s="33"/>
      <c r="H91" s="33"/>
      <c r="I91" s="42">
        <v>275</v>
      </c>
      <c r="J91" s="42">
        <v>275</v>
      </c>
      <c r="K91" s="42">
        <v>275</v>
      </c>
      <c r="L91" s="42">
        <v>275</v>
      </c>
      <c r="M91" s="42">
        <v>315</v>
      </c>
      <c r="N91" s="42">
        <v>350</v>
      </c>
      <c r="O91" s="42">
        <v>350</v>
      </c>
      <c r="P91" s="42">
        <v>350</v>
      </c>
      <c r="Q91" s="42">
        <v>315</v>
      </c>
      <c r="R91" s="42">
        <v>275</v>
      </c>
      <c r="S91" s="42">
        <v>275</v>
      </c>
      <c r="T91" s="42">
        <v>275</v>
      </c>
      <c r="U91" s="70">
        <f t="shared" si="30"/>
        <v>3605</v>
      </c>
      <c r="V91" s="50">
        <f>'[1]2022 Forecast'!O91</f>
        <v>3448.84</v>
      </c>
      <c r="W91" s="82">
        <f t="shared" si="31"/>
        <v>-156.15999999999985</v>
      </c>
      <c r="Y91" s="243"/>
    </row>
    <row r="92" spans="1:25" ht="15.75" customHeight="1" x14ac:dyDescent="0.3">
      <c r="A92" s="33"/>
      <c r="B92" s="33"/>
      <c r="C92" s="33"/>
      <c r="D92" s="33"/>
      <c r="E92" s="45" t="str">
        <f>'[1]2022 Forecast'!E92</f>
        <v>Water &amp; Sewage - park</v>
      </c>
      <c r="F92" s="33"/>
      <c r="G92" s="33"/>
      <c r="H92" s="33"/>
      <c r="I92" s="206">
        <v>300</v>
      </c>
      <c r="J92" s="206">
        <v>350</v>
      </c>
      <c r="K92" s="206">
        <v>600</v>
      </c>
      <c r="L92" s="206">
        <v>650</v>
      </c>
      <c r="M92" s="206">
        <v>2100</v>
      </c>
      <c r="N92" s="206">
        <f>M92</f>
        <v>2100</v>
      </c>
      <c r="O92" s="206">
        <f>N92</f>
        <v>2100</v>
      </c>
      <c r="P92" s="206">
        <v>2400</v>
      </c>
      <c r="Q92" s="206">
        <v>1800</v>
      </c>
      <c r="R92" s="206">
        <v>850</v>
      </c>
      <c r="S92" s="206">
        <v>350</v>
      </c>
      <c r="T92" s="206">
        <v>300</v>
      </c>
      <c r="U92" s="207">
        <f t="shared" si="30"/>
        <v>13900</v>
      </c>
      <c r="V92" s="74">
        <f>'[1]2022 Forecast'!O92</f>
        <v>13807.13</v>
      </c>
      <c r="W92" s="208">
        <f t="shared" si="31"/>
        <v>-92.8700000000008</v>
      </c>
      <c r="X92" s="33"/>
      <c r="Y92" s="243"/>
    </row>
    <row r="93" spans="1:25" ht="10.5" customHeight="1" x14ac:dyDescent="0.3">
      <c r="A93" s="33"/>
      <c r="B93" s="33"/>
      <c r="C93" s="33"/>
      <c r="D93" s="33"/>
      <c r="E93" s="45"/>
      <c r="F93" s="33"/>
      <c r="G93" s="33"/>
      <c r="H93" s="33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70"/>
      <c r="V93" s="50"/>
      <c r="W93" s="82"/>
      <c r="Y93" s="243"/>
    </row>
    <row r="94" spans="1:25" ht="15.75" customHeight="1" x14ac:dyDescent="0.3">
      <c r="A94" s="33"/>
      <c r="B94" s="33"/>
      <c r="C94" s="33"/>
      <c r="D94" s="47" t="str">
        <f>'[1]2022 Forecast'!D94</f>
        <v>Total Utilities</v>
      </c>
      <c r="E94" s="45"/>
      <c r="F94" s="33"/>
      <c r="G94" s="33"/>
      <c r="H94" s="33"/>
      <c r="I94" s="44">
        <f>SUM(I88:I93)</f>
        <v>687.76</v>
      </c>
      <c r="J94" s="44">
        <f t="shared" ref="J94:W94" si="33">SUM(J88:J93)</f>
        <v>737.76</v>
      </c>
      <c r="K94" s="44">
        <f t="shared" si="33"/>
        <v>987.76</v>
      </c>
      <c r="L94" s="44">
        <f t="shared" si="33"/>
        <v>1037.76</v>
      </c>
      <c r="M94" s="44">
        <f t="shared" si="33"/>
        <v>2527.7600000000002</v>
      </c>
      <c r="N94" s="44">
        <f t="shared" si="33"/>
        <v>2562.7600000000002</v>
      </c>
      <c r="O94" s="44">
        <f t="shared" si="33"/>
        <v>2562.7600000000002</v>
      </c>
      <c r="P94" s="44">
        <f t="shared" si="33"/>
        <v>2862.76</v>
      </c>
      <c r="Q94" s="44">
        <f t="shared" si="33"/>
        <v>2227.7600000000002</v>
      </c>
      <c r="R94" s="44">
        <f t="shared" si="33"/>
        <v>1237.76</v>
      </c>
      <c r="S94" s="44">
        <f t="shared" si="33"/>
        <v>737.76</v>
      </c>
      <c r="T94" s="44">
        <f t="shared" si="33"/>
        <v>687.76</v>
      </c>
      <c r="U94" s="72">
        <f t="shared" si="33"/>
        <v>18858.12</v>
      </c>
      <c r="V94" s="44">
        <f t="shared" si="33"/>
        <v>18249.059999999998</v>
      </c>
      <c r="W94" s="84">
        <f t="shared" si="33"/>
        <v>-609.06000000000063</v>
      </c>
      <c r="Y94" s="242">
        <f>V94-U94</f>
        <v>-609.06000000000131</v>
      </c>
    </row>
    <row r="95" spans="1:25" ht="15.75" customHeight="1" x14ac:dyDescent="0.3">
      <c r="A95" s="33"/>
      <c r="B95" s="33"/>
      <c r="C95" s="33"/>
      <c r="D95" s="45"/>
      <c r="E95" s="33"/>
      <c r="F95" s="33"/>
      <c r="G95" s="33"/>
      <c r="H95" s="33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70"/>
      <c r="V95" s="50"/>
      <c r="W95" s="82"/>
      <c r="Y95" s="243"/>
    </row>
    <row r="96" spans="1:25" ht="15.75" customHeight="1" x14ac:dyDescent="0.3">
      <c r="A96" s="33"/>
      <c r="B96" s="33"/>
      <c r="C96" s="47" t="str">
        <f>'[1]2022 Forecast'!C96</f>
        <v>Total Expense</v>
      </c>
      <c r="D96" s="33"/>
      <c r="E96" s="45"/>
      <c r="F96" s="33"/>
      <c r="G96" s="33"/>
      <c r="H96" s="33"/>
      <c r="I96" s="44">
        <f>I39+I49+I61+I78+I86+I94</f>
        <v>4703.1761375114193</v>
      </c>
      <c r="J96" s="44">
        <f t="shared" ref="J96:V96" si="34">J39+J49+J61+J78+J86+J94</f>
        <v>4346.729990375291</v>
      </c>
      <c r="K96" s="44">
        <f t="shared" si="34"/>
        <v>8793.8845857193628</v>
      </c>
      <c r="L96" s="44">
        <f t="shared" si="34"/>
        <v>16588.900532059746</v>
      </c>
      <c r="M96" s="44">
        <f t="shared" si="34"/>
        <v>11539.498256907069</v>
      </c>
      <c r="N96" s="44">
        <f t="shared" si="34"/>
        <v>15947.761347000642</v>
      </c>
      <c r="O96" s="44">
        <f t="shared" si="34"/>
        <v>12735.761399357272</v>
      </c>
      <c r="P96" s="44">
        <f t="shared" si="34"/>
        <v>12147.326978532286</v>
      </c>
      <c r="Q96" s="44">
        <f t="shared" si="34"/>
        <v>10070.475654965614</v>
      </c>
      <c r="R96" s="44">
        <f t="shared" si="34"/>
        <v>11301.047136758536</v>
      </c>
      <c r="S96" s="44">
        <f t="shared" si="34"/>
        <v>5879.7613842069932</v>
      </c>
      <c r="T96" s="44">
        <f t="shared" si="34"/>
        <v>4379.7614380098003</v>
      </c>
      <c r="U96" s="72">
        <f t="shared" si="34"/>
        <v>118434.08484140402</v>
      </c>
      <c r="V96" s="44">
        <f t="shared" si="34"/>
        <v>120990.43765183241</v>
      </c>
      <c r="W96" s="84">
        <f>W39+W49+W61+W78+W86+W94</f>
        <v>2556.3528104283805</v>
      </c>
      <c r="Y96" s="242">
        <f>V96-U96</f>
        <v>2556.3528104283905</v>
      </c>
    </row>
    <row r="97" spans="1:28" ht="15.75" customHeight="1" x14ac:dyDescent="0.3">
      <c r="A97" s="33"/>
      <c r="B97" s="33"/>
      <c r="C97" s="33"/>
      <c r="D97" s="45"/>
      <c r="E97" s="45"/>
      <c r="F97" s="33"/>
      <c r="G97" s="33"/>
      <c r="H97" s="3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70"/>
      <c r="V97" s="50"/>
      <c r="W97" s="82"/>
      <c r="Y97" s="244"/>
    </row>
    <row r="98" spans="1:28" ht="15.75" customHeight="1" x14ac:dyDescent="0.3">
      <c r="A98" s="33"/>
      <c r="B98" s="47" t="s">
        <v>107</v>
      </c>
      <c r="C98" s="33"/>
      <c r="D98" s="45"/>
      <c r="E98" s="45"/>
      <c r="F98" s="33"/>
      <c r="G98" s="33"/>
      <c r="H98" s="33"/>
      <c r="I98" s="138">
        <f t="shared" ref="I98:V98" si="35">I22-I96</f>
        <v>8745.6926738660186</v>
      </c>
      <c r="J98" s="138">
        <f t="shared" si="35"/>
        <v>7466.7339430305883</v>
      </c>
      <c r="K98" s="138">
        <f t="shared" si="35"/>
        <v>3248.640032520032</v>
      </c>
      <c r="L98" s="138">
        <f t="shared" si="35"/>
        <v>-4115.3614022747552</v>
      </c>
      <c r="M98" s="138">
        <f t="shared" si="35"/>
        <v>-764.62325429761404</v>
      </c>
      <c r="N98" s="138">
        <f t="shared" si="35"/>
        <v>-4551.0004652179978</v>
      </c>
      <c r="O98" s="138">
        <f t="shared" si="35"/>
        <v>-1982.5646820368383</v>
      </c>
      <c r="P98" s="138">
        <f t="shared" si="35"/>
        <v>-1299.0866694185515</v>
      </c>
      <c r="Q98" s="138">
        <f t="shared" si="35"/>
        <v>1024.5169409923346</v>
      </c>
      <c r="R98" s="138">
        <f t="shared" si="35"/>
        <v>-453.49324502497802</v>
      </c>
      <c r="S98" s="138">
        <f t="shared" si="35"/>
        <v>4866.658777970184</v>
      </c>
      <c r="T98" s="138">
        <f t="shared" si="35"/>
        <v>6535.5953745728202</v>
      </c>
      <c r="U98" s="139">
        <f t="shared" si="35"/>
        <v>18721.708024681255</v>
      </c>
      <c r="V98" s="138">
        <f t="shared" si="35"/>
        <v>9115.3526134285057</v>
      </c>
      <c r="W98" s="212">
        <f>W96+W22</f>
        <v>9606.3554112527436</v>
      </c>
      <c r="Y98" s="242">
        <f>U98-V98</f>
        <v>9606.355411252749</v>
      </c>
    </row>
    <row r="99" spans="1:28" ht="15.75" customHeight="1" x14ac:dyDescent="0.3">
      <c r="A99" s="33"/>
      <c r="B99" s="33"/>
      <c r="C99" s="33"/>
      <c r="D99" s="45"/>
      <c r="E99" s="45"/>
      <c r="F99" s="33"/>
      <c r="G99" s="33"/>
      <c r="H99" s="33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70"/>
      <c r="V99" s="50"/>
      <c r="W99" s="82"/>
      <c r="Y99" s="194"/>
    </row>
    <row r="100" spans="1:28" ht="15.75" customHeight="1" x14ac:dyDescent="0.3">
      <c r="A100" s="33"/>
      <c r="B100" s="33"/>
      <c r="C100" s="47" t="str">
        <f>'[1]2022 Forecast'!C100</f>
        <v>Other (Income) / Expenses</v>
      </c>
      <c r="D100" s="45"/>
      <c r="E100" s="45"/>
      <c r="F100" s="33"/>
      <c r="G100" s="33"/>
      <c r="H100" s="33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70"/>
      <c r="V100" s="50"/>
      <c r="W100" s="82"/>
      <c r="Y100" s="243"/>
    </row>
    <row r="101" spans="1:28" ht="15.75" customHeight="1" x14ac:dyDescent="0.3">
      <c r="A101" s="33"/>
      <c r="B101" s="33"/>
      <c r="C101" s="33"/>
      <c r="D101" s="47" t="str">
        <f>'[1]2022 Forecast'!D101</f>
        <v>Project and Required Maintenance</v>
      </c>
      <c r="E101" s="33"/>
      <c r="F101" s="33"/>
      <c r="G101" s="26"/>
      <c r="H101" s="33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70"/>
      <c r="V101" s="50"/>
      <c r="W101" s="82"/>
      <c r="X101" s="33"/>
      <c r="Y101" s="243"/>
    </row>
    <row r="102" spans="1:28" ht="15.75" customHeight="1" x14ac:dyDescent="0.3">
      <c r="A102" s="33"/>
      <c r="B102" s="33"/>
      <c r="C102" s="33"/>
      <c r="D102" s="45"/>
      <c r="E102" s="48" t="str">
        <f>'[1]2022 Forecast'!E102</f>
        <v>2022 - Project Spending - flagpole flower garden</v>
      </c>
      <c r="F102" s="45"/>
      <c r="G102" s="26"/>
      <c r="H102" s="33"/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70">
        <f t="shared" ref="U102:U104" si="36">SUM(I102:T102)</f>
        <v>0</v>
      </c>
      <c r="V102" s="50">
        <f>'[1]2022 Forecast'!O102</f>
        <v>250</v>
      </c>
      <c r="W102" s="82">
        <f t="shared" ref="W102" si="37">V102-U102</f>
        <v>250</v>
      </c>
      <c r="X102" s="33"/>
      <c r="Y102" s="243"/>
    </row>
    <row r="103" spans="1:28" ht="15.75" customHeight="1" x14ac:dyDescent="0.3">
      <c r="A103" s="33"/>
      <c r="B103" s="33"/>
      <c r="C103" s="33"/>
      <c r="D103" s="45"/>
      <c r="E103" s="48" t="str">
        <f>'[1]2022 Forecast'!E103</f>
        <v>Other</v>
      </c>
      <c r="F103" s="33"/>
      <c r="G103" s="26"/>
      <c r="H103" s="33"/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70">
        <f t="shared" si="36"/>
        <v>0</v>
      </c>
      <c r="V103" s="50">
        <f>'[1]2022 Forecast'!O103</f>
        <v>0</v>
      </c>
      <c r="W103" s="82">
        <f t="shared" ref="W103:W104" si="38">U103-V103</f>
        <v>0</v>
      </c>
      <c r="Y103" s="243"/>
    </row>
    <row r="104" spans="1:28" ht="15.75" customHeight="1" x14ac:dyDescent="0.3">
      <c r="A104" s="33"/>
      <c r="B104" s="33"/>
      <c r="C104" s="33"/>
      <c r="D104" s="45"/>
      <c r="E104" s="171" t="s">
        <v>168</v>
      </c>
      <c r="F104" s="33"/>
      <c r="G104" s="26"/>
      <c r="H104" s="33"/>
      <c r="I104" s="50">
        <f>I144</f>
        <v>0</v>
      </c>
      <c r="J104" s="50">
        <f t="shared" ref="J104:T104" si="39">J144</f>
        <v>15000</v>
      </c>
      <c r="K104" s="50">
        <f t="shared" si="39"/>
        <v>0</v>
      </c>
      <c r="L104" s="50">
        <f t="shared" si="39"/>
        <v>2500</v>
      </c>
      <c r="M104" s="50">
        <f t="shared" si="39"/>
        <v>2500</v>
      </c>
      <c r="N104" s="50">
        <f t="shared" si="39"/>
        <v>0</v>
      </c>
      <c r="O104" s="50">
        <f t="shared" si="39"/>
        <v>0</v>
      </c>
      <c r="P104" s="50">
        <f t="shared" si="39"/>
        <v>0</v>
      </c>
      <c r="Q104" s="50">
        <f t="shared" si="39"/>
        <v>0</v>
      </c>
      <c r="R104" s="50">
        <f t="shared" si="39"/>
        <v>0</v>
      </c>
      <c r="S104" s="50">
        <f t="shared" si="39"/>
        <v>3500</v>
      </c>
      <c r="T104" s="50">
        <f t="shared" si="39"/>
        <v>0</v>
      </c>
      <c r="U104" s="70">
        <f t="shared" si="36"/>
        <v>23500</v>
      </c>
      <c r="V104" s="50">
        <f>'[1]2022 Forecast'!O104</f>
        <v>0</v>
      </c>
      <c r="W104" s="82">
        <f t="shared" si="38"/>
        <v>23500</v>
      </c>
      <c r="Y104" s="243"/>
    </row>
    <row r="105" spans="1:28" ht="15.75" customHeight="1" x14ac:dyDescent="0.3">
      <c r="A105" s="33"/>
      <c r="B105" s="33"/>
      <c r="C105" s="33"/>
      <c r="D105" s="47" t="str">
        <f>'[1]2022 Forecast'!D105</f>
        <v>Total Other Expenses</v>
      </c>
      <c r="E105" s="45"/>
      <c r="F105" s="33"/>
      <c r="G105" s="33"/>
      <c r="H105" s="33"/>
      <c r="I105" s="49">
        <f t="shared" ref="I105:W105" si="40">SUM(I102:I104)</f>
        <v>0</v>
      </c>
      <c r="J105" s="49">
        <f t="shared" si="40"/>
        <v>15000</v>
      </c>
      <c r="K105" s="49">
        <f t="shared" si="40"/>
        <v>0</v>
      </c>
      <c r="L105" s="49">
        <f t="shared" si="40"/>
        <v>2500</v>
      </c>
      <c r="M105" s="49">
        <f t="shared" si="40"/>
        <v>2500</v>
      </c>
      <c r="N105" s="49">
        <f t="shared" si="40"/>
        <v>0</v>
      </c>
      <c r="O105" s="49">
        <f t="shared" si="40"/>
        <v>0</v>
      </c>
      <c r="P105" s="49">
        <f t="shared" si="40"/>
        <v>0</v>
      </c>
      <c r="Q105" s="49">
        <f t="shared" si="40"/>
        <v>0</v>
      </c>
      <c r="R105" s="49">
        <f t="shared" si="40"/>
        <v>0</v>
      </c>
      <c r="S105" s="49">
        <f t="shared" si="40"/>
        <v>3500</v>
      </c>
      <c r="T105" s="49">
        <f t="shared" si="40"/>
        <v>0</v>
      </c>
      <c r="U105" s="73">
        <f t="shared" si="40"/>
        <v>23500</v>
      </c>
      <c r="V105" s="49">
        <f t="shared" si="40"/>
        <v>250</v>
      </c>
      <c r="W105" s="85">
        <f t="shared" si="40"/>
        <v>23750</v>
      </c>
      <c r="Y105" s="242">
        <f>U105-V105</f>
        <v>23250</v>
      </c>
    </row>
    <row r="106" spans="1:28" ht="15.75" customHeight="1" x14ac:dyDescent="0.3">
      <c r="A106" s="33"/>
      <c r="B106" s="33"/>
      <c r="C106" s="33"/>
      <c r="D106" s="45"/>
      <c r="E106" s="45"/>
      <c r="F106" s="33"/>
      <c r="G106" s="33"/>
      <c r="H106" s="3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70"/>
      <c r="V106" s="50"/>
      <c r="W106" s="82"/>
      <c r="Y106" s="244"/>
    </row>
    <row r="107" spans="1:28" ht="15.75" customHeight="1" x14ac:dyDescent="0.3">
      <c r="A107" s="33"/>
      <c r="B107" s="47" t="s">
        <v>108</v>
      </c>
      <c r="C107" s="45"/>
      <c r="D107" s="45"/>
      <c r="E107" s="45"/>
      <c r="F107" s="33"/>
      <c r="G107" s="33"/>
      <c r="H107" s="33"/>
      <c r="I107" s="138">
        <f t="shared" ref="I107:V107" si="41">I98-I105</f>
        <v>8745.6926738660186</v>
      </c>
      <c r="J107" s="138">
        <f t="shared" si="41"/>
        <v>-7533.2660569694117</v>
      </c>
      <c r="K107" s="138">
        <f t="shared" si="41"/>
        <v>3248.640032520032</v>
      </c>
      <c r="L107" s="138">
        <f t="shared" si="41"/>
        <v>-6615.3614022747552</v>
      </c>
      <c r="M107" s="138">
        <f t="shared" si="41"/>
        <v>-3264.623254297614</v>
      </c>
      <c r="N107" s="138">
        <f t="shared" si="41"/>
        <v>-4551.0004652179978</v>
      </c>
      <c r="O107" s="138">
        <f t="shared" si="41"/>
        <v>-1982.5646820368383</v>
      </c>
      <c r="P107" s="138">
        <f t="shared" si="41"/>
        <v>-1299.0866694185515</v>
      </c>
      <c r="Q107" s="138">
        <f t="shared" si="41"/>
        <v>1024.5169409923346</v>
      </c>
      <c r="R107" s="138">
        <f t="shared" si="41"/>
        <v>-453.49324502497802</v>
      </c>
      <c r="S107" s="138">
        <f t="shared" si="41"/>
        <v>1366.658777970184</v>
      </c>
      <c r="T107" s="138">
        <f t="shared" si="41"/>
        <v>6535.5953745728202</v>
      </c>
      <c r="U107" s="139">
        <f t="shared" si="41"/>
        <v>-4778.2919753187452</v>
      </c>
      <c r="V107" s="138">
        <f t="shared" si="41"/>
        <v>8865.3526134285057</v>
      </c>
      <c r="W107" s="212">
        <f>W105+W98</f>
        <v>33356.355411252742</v>
      </c>
      <c r="Y107" s="242">
        <f>U107-V107</f>
        <v>-13643.644588747251</v>
      </c>
      <c r="AB107" s="52"/>
    </row>
    <row r="108" spans="1:28" ht="15.75" customHeight="1" x14ac:dyDescent="0.3">
      <c r="A108" s="33"/>
      <c r="B108" s="33"/>
      <c r="C108" s="33"/>
      <c r="D108" s="45"/>
      <c r="E108" s="45"/>
      <c r="F108" s="45"/>
      <c r="G108" s="45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237"/>
      <c r="V108" s="33"/>
      <c r="W108" s="238"/>
      <c r="X108" s="33"/>
      <c r="Y108" s="194"/>
      <c r="Z108" s="33"/>
      <c r="AB108" s="52"/>
    </row>
    <row r="109" spans="1:28" ht="15.75" customHeight="1" x14ac:dyDescent="0.3">
      <c r="A109" s="33"/>
      <c r="B109" s="33"/>
      <c r="C109" s="33"/>
      <c r="D109" s="45"/>
      <c r="E109" s="45"/>
      <c r="F109" s="45"/>
      <c r="G109" s="45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237"/>
      <c r="V109" s="33"/>
      <c r="W109" s="238"/>
      <c r="X109" s="33"/>
      <c r="Y109" s="194"/>
      <c r="Z109" s="33"/>
      <c r="AB109" s="52"/>
    </row>
    <row r="110" spans="1:28" ht="15.75" customHeight="1" x14ac:dyDescent="0.3">
      <c r="A110" s="33"/>
      <c r="B110" s="33"/>
      <c r="C110" s="33" t="s">
        <v>129</v>
      </c>
      <c r="D110" s="45"/>
      <c r="E110" s="45"/>
      <c r="F110" s="45"/>
      <c r="G110" s="45"/>
      <c r="H110" s="33"/>
      <c r="I110" s="50">
        <f>I126</f>
        <v>836.01386248858068</v>
      </c>
      <c r="J110" s="50">
        <f t="shared" ref="J110:T110" si="42">J126</f>
        <v>842.4600096247093</v>
      </c>
      <c r="K110" s="50">
        <f t="shared" si="42"/>
        <v>845.30541428063646</v>
      </c>
      <c r="L110" s="50">
        <f t="shared" si="42"/>
        <v>850.28946794025296</v>
      </c>
      <c r="M110" s="50">
        <f t="shared" si="42"/>
        <v>855.69174309293066</v>
      </c>
      <c r="N110" s="50">
        <f t="shared" si="42"/>
        <v>-1.3470006406578253E-3</v>
      </c>
      <c r="O110" s="50">
        <f t="shared" si="42"/>
        <v>-1.399357272702442E-3</v>
      </c>
      <c r="P110" s="50">
        <f t="shared" si="42"/>
        <v>-1.4071037147477591E-3</v>
      </c>
      <c r="Q110" s="50">
        <f t="shared" si="42"/>
        <v>-1.3692513279512613E-3</v>
      </c>
      <c r="R110" s="50">
        <f t="shared" si="42"/>
        <v>-1.422472823019843E-3</v>
      </c>
      <c r="S110" s="50">
        <f t="shared" si="42"/>
        <v>-1.3842069930457492E-3</v>
      </c>
      <c r="T110" s="50">
        <f t="shared" si="42"/>
        <v>-1.4380098005730632E-3</v>
      </c>
      <c r="U110" s="70">
        <f t="shared" ref="U110" si="43">SUM(I110:T110)</f>
        <v>4229.750730024537</v>
      </c>
      <c r="V110" s="50">
        <f>'[1]2022 Forecast'!O110</f>
        <v>9684.5780624533018</v>
      </c>
      <c r="W110" s="82">
        <f t="shared" ref="W110" si="44">V110-U110</f>
        <v>5454.8273324287647</v>
      </c>
      <c r="X110" s="33"/>
      <c r="Y110" s="194"/>
      <c r="Z110" s="33"/>
      <c r="AB110" s="52"/>
    </row>
    <row r="111" spans="1:28" ht="15.75" customHeight="1" x14ac:dyDescent="0.3">
      <c r="A111" s="33"/>
      <c r="B111" s="33"/>
      <c r="C111" s="33"/>
      <c r="D111" s="45"/>
      <c r="E111" s="45"/>
      <c r="F111" s="45"/>
      <c r="G111" s="4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237"/>
      <c r="V111" s="33"/>
      <c r="W111" s="256"/>
      <c r="X111" s="33"/>
      <c r="Y111" s="194"/>
      <c r="Z111" s="33"/>
      <c r="AB111" s="52"/>
    </row>
    <row r="112" spans="1:28" ht="15.75" customHeight="1" thickBot="1" x14ac:dyDescent="0.35">
      <c r="A112" s="33"/>
      <c r="B112" s="33"/>
      <c r="C112" s="33"/>
      <c r="D112" s="47" t="s">
        <v>130</v>
      </c>
      <c r="E112" s="45"/>
      <c r="F112" s="45"/>
      <c r="G112" s="45"/>
      <c r="H112" s="33"/>
      <c r="I112" s="252">
        <f>I107-I110</f>
        <v>7909.6788113774383</v>
      </c>
      <c r="J112" s="252">
        <f t="shared" ref="J112:V112" si="45">J107-J110</f>
        <v>-8375.7260665941212</v>
      </c>
      <c r="K112" s="252">
        <f t="shared" si="45"/>
        <v>2403.3346182393957</v>
      </c>
      <c r="L112" s="252">
        <f t="shared" si="45"/>
        <v>-7465.6508702150077</v>
      </c>
      <c r="M112" s="252">
        <f t="shared" si="45"/>
        <v>-4120.3149973905447</v>
      </c>
      <c r="N112" s="252">
        <f t="shared" si="45"/>
        <v>-4550.9991182173571</v>
      </c>
      <c r="O112" s="252">
        <f t="shared" si="45"/>
        <v>-1982.5632826795656</v>
      </c>
      <c r="P112" s="252">
        <f t="shared" si="45"/>
        <v>-1299.0852623148369</v>
      </c>
      <c r="Q112" s="252">
        <f t="shared" si="45"/>
        <v>1024.5183102436627</v>
      </c>
      <c r="R112" s="252">
        <f t="shared" si="45"/>
        <v>-453.49182255215499</v>
      </c>
      <c r="S112" s="252">
        <f t="shared" si="45"/>
        <v>1366.660162177177</v>
      </c>
      <c r="T112" s="257">
        <f t="shared" si="45"/>
        <v>6535.5968125826212</v>
      </c>
      <c r="U112" s="252">
        <f t="shared" si="45"/>
        <v>-9008.0427053432832</v>
      </c>
      <c r="V112" s="252">
        <f t="shared" si="45"/>
        <v>-819.22544902479603</v>
      </c>
      <c r="W112" s="255">
        <f t="shared" ref="W112" si="46">U112-V112</f>
        <v>-8188.8172563184871</v>
      </c>
      <c r="X112" s="127"/>
      <c r="Y112" s="242">
        <f>U112-V112</f>
        <v>-8188.8172563184871</v>
      </c>
      <c r="Z112" s="33"/>
      <c r="AB112" s="52"/>
    </row>
    <row r="113" spans="1:28" ht="15.75" customHeight="1" thickTop="1" x14ac:dyDescent="0.3">
      <c r="A113" s="33"/>
      <c r="B113" s="33"/>
      <c r="C113" s="33"/>
      <c r="D113" s="45"/>
      <c r="E113" s="45"/>
      <c r="F113" s="45"/>
      <c r="G113" s="4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237"/>
      <c r="V113" s="33"/>
      <c r="W113" s="238"/>
      <c r="X113" s="33"/>
      <c r="Y113" s="33"/>
      <c r="Z113" s="33"/>
      <c r="AB113" s="52"/>
    </row>
    <row r="114" spans="1:28" ht="15.75" customHeight="1" x14ac:dyDescent="0.3">
      <c r="A114" s="33"/>
      <c r="B114" s="33"/>
      <c r="C114" s="33"/>
      <c r="D114" s="45"/>
      <c r="E114" s="45"/>
      <c r="F114" s="45"/>
      <c r="G114" s="45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245"/>
      <c r="V114" s="33"/>
      <c r="W114" s="238"/>
      <c r="X114" s="33"/>
      <c r="Y114" s="33"/>
      <c r="Z114" s="33"/>
      <c r="AB114" s="52"/>
    </row>
    <row r="115" spans="1:28" ht="15.75" customHeight="1" x14ac:dyDescent="0.3">
      <c r="A115" s="33"/>
      <c r="B115" s="33"/>
      <c r="C115" s="33"/>
      <c r="D115" s="45"/>
      <c r="E115" s="45"/>
      <c r="F115" s="171"/>
      <c r="G115" s="33"/>
      <c r="H115" s="33"/>
      <c r="I115" s="262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237"/>
      <c r="V115" s="33"/>
      <c r="W115" s="238"/>
      <c r="X115" s="33"/>
      <c r="Y115" s="33"/>
      <c r="Z115" s="33"/>
      <c r="AB115" s="52"/>
    </row>
    <row r="116" spans="1:28" x14ac:dyDescent="0.3">
      <c r="A116" s="128" t="s">
        <v>45</v>
      </c>
      <c r="B116" s="99"/>
      <c r="C116" s="99"/>
      <c r="D116" s="99"/>
      <c r="E116" s="129"/>
      <c r="F116" s="99"/>
      <c r="G116" s="99"/>
      <c r="H116" s="90" t="s">
        <v>163</v>
      </c>
      <c r="I116" s="181" t="str">
        <f t="shared" ref="I116:W116" si="47">I7</f>
        <v>Jan</v>
      </c>
      <c r="J116" s="181" t="str">
        <f t="shared" si="47"/>
        <v>Feb</v>
      </c>
      <c r="K116" s="181" t="str">
        <f t="shared" si="47"/>
        <v>Mar</v>
      </c>
      <c r="L116" s="181" t="str">
        <f t="shared" si="47"/>
        <v>Apr</v>
      </c>
      <c r="M116" s="181" t="str">
        <f t="shared" si="47"/>
        <v>May</v>
      </c>
      <c r="N116" s="181" t="str">
        <f t="shared" si="47"/>
        <v>Jun</v>
      </c>
      <c r="O116" s="181" t="str">
        <f t="shared" si="47"/>
        <v>Jul</v>
      </c>
      <c r="P116" s="181" t="str">
        <f t="shared" si="47"/>
        <v>Aug</v>
      </c>
      <c r="Q116" s="181" t="str">
        <f t="shared" si="47"/>
        <v>Sep</v>
      </c>
      <c r="R116" s="181" t="str">
        <f t="shared" si="47"/>
        <v>Oct</v>
      </c>
      <c r="S116" s="181" t="str">
        <f t="shared" si="47"/>
        <v>Nov</v>
      </c>
      <c r="T116" s="181" t="str">
        <f t="shared" si="47"/>
        <v>Dec</v>
      </c>
      <c r="U116" s="226" t="str">
        <f t="shared" si="47"/>
        <v>TOTAL YR</v>
      </c>
      <c r="V116" s="181" t="str">
        <f t="shared" si="47"/>
        <v>TOTAL YR</v>
      </c>
      <c r="W116" s="234" t="str">
        <f t="shared" si="47"/>
        <v>2023 Budget</v>
      </c>
    </row>
    <row r="117" spans="1:28" x14ac:dyDescent="0.3">
      <c r="A117" s="99"/>
      <c r="B117" s="9" t="s">
        <v>46</v>
      </c>
      <c r="C117" s="99"/>
      <c r="D117" s="99"/>
      <c r="E117" s="99"/>
      <c r="F117" s="99"/>
      <c r="G117" s="99"/>
      <c r="H117" s="179">
        <f>'[1]2022 Forecast'!O116</f>
        <v>8819.4945509751997</v>
      </c>
      <c r="I117" s="89">
        <f>I112+H117</f>
        <v>16729.173362352638</v>
      </c>
      <c r="J117" s="89">
        <f t="shared" ref="J117:T117" si="48">J112+I117</f>
        <v>8353.4472957585167</v>
      </c>
      <c r="K117" s="89">
        <f t="shared" si="48"/>
        <v>10756.781913997913</v>
      </c>
      <c r="L117" s="89">
        <f t="shared" si="48"/>
        <v>3291.1310437829052</v>
      </c>
      <c r="M117" s="89">
        <f t="shared" si="48"/>
        <v>-829.18395360763952</v>
      </c>
      <c r="N117" s="89">
        <f t="shared" si="48"/>
        <v>-5380.1830718249967</v>
      </c>
      <c r="O117" s="89">
        <f t="shared" si="48"/>
        <v>-7362.7463545045621</v>
      </c>
      <c r="P117" s="89">
        <f t="shared" si="48"/>
        <v>-8661.8316168193996</v>
      </c>
      <c r="Q117" s="89">
        <f t="shared" si="48"/>
        <v>-7637.3133065757374</v>
      </c>
      <c r="R117" s="89">
        <f t="shared" si="48"/>
        <v>-8090.8051291278925</v>
      </c>
      <c r="S117" s="89">
        <f t="shared" si="48"/>
        <v>-6724.1449669507156</v>
      </c>
      <c r="T117" s="89">
        <f t="shared" si="48"/>
        <v>-188.5481543680944</v>
      </c>
      <c r="U117" s="235">
        <f>T117</f>
        <v>-188.5481543680944</v>
      </c>
      <c r="V117" s="173">
        <f>'[1]2022 Forecast'!O116</f>
        <v>8819.4945509751997</v>
      </c>
      <c r="W117" s="81">
        <f>U117-V117</f>
        <v>-9008.0427053432941</v>
      </c>
    </row>
    <row r="118" spans="1:28" x14ac:dyDescent="0.3">
      <c r="A118" s="99"/>
      <c r="B118" s="130" t="s">
        <v>77</v>
      </c>
      <c r="C118" s="99"/>
      <c r="D118" s="131"/>
      <c r="E118" s="99"/>
      <c r="F118" s="99"/>
      <c r="G118" s="99"/>
      <c r="H118" s="179">
        <f>'[1]2022 Forecast'!O117</f>
        <v>12379.76</v>
      </c>
      <c r="I118" s="89">
        <f t="shared" ref="I118:T118" si="49">+H118</f>
        <v>12379.76</v>
      </c>
      <c r="J118" s="89">
        <f t="shared" si="49"/>
        <v>12379.76</v>
      </c>
      <c r="K118" s="89">
        <f t="shared" si="49"/>
        <v>12379.76</v>
      </c>
      <c r="L118" s="89">
        <f t="shared" si="49"/>
        <v>12379.76</v>
      </c>
      <c r="M118" s="89">
        <f t="shared" si="49"/>
        <v>12379.76</v>
      </c>
      <c r="N118" s="89">
        <f t="shared" si="49"/>
        <v>12379.76</v>
      </c>
      <c r="O118" s="89">
        <f t="shared" si="49"/>
        <v>12379.76</v>
      </c>
      <c r="P118" s="89">
        <f t="shared" si="49"/>
        <v>12379.76</v>
      </c>
      <c r="Q118" s="89">
        <f t="shared" si="49"/>
        <v>12379.76</v>
      </c>
      <c r="R118" s="89">
        <f t="shared" si="49"/>
        <v>12379.76</v>
      </c>
      <c r="S118" s="89">
        <f t="shared" si="49"/>
        <v>12379.76</v>
      </c>
      <c r="T118" s="89">
        <f t="shared" si="49"/>
        <v>12379.76</v>
      </c>
      <c r="U118" s="92">
        <f>T118</f>
        <v>12379.76</v>
      </c>
      <c r="V118" s="89">
        <f>'[1]2022 Forecast'!O117</f>
        <v>12379.76</v>
      </c>
      <c r="W118" s="81">
        <f>U118-V118</f>
        <v>0</v>
      </c>
    </row>
    <row r="119" spans="1:28" ht="7.5" customHeight="1" x14ac:dyDescent="0.3">
      <c r="A119" s="99"/>
      <c r="B119" s="99"/>
      <c r="C119" s="99"/>
      <c r="D119" s="99"/>
      <c r="E119" s="99"/>
      <c r="F119" s="99"/>
      <c r="G119" s="9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227"/>
      <c r="V119" s="59"/>
      <c r="W119" s="228"/>
    </row>
    <row r="120" spans="1:28" ht="14.4" thickBot="1" x14ac:dyDescent="0.35">
      <c r="A120" s="99"/>
      <c r="B120" s="99"/>
      <c r="C120" s="99"/>
      <c r="D120" s="132"/>
      <c r="E120" s="99"/>
      <c r="F120" s="99"/>
      <c r="G120" s="99"/>
      <c r="H120" s="12">
        <f t="shared" ref="H120:W120" si="50">SUM(H116:H119)</f>
        <v>21199.254550975202</v>
      </c>
      <c r="I120" s="12">
        <f t="shared" si="50"/>
        <v>29108.93336235264</v>
      </c>
      <c r="J120" s="12">
        <f t="shared" si="50"/>
        <v>20733.207295758519</v>
      </c>
      <c r="K120" s="12">
        <f t="shared" si="50"/>
        <v>23136.541913997913</v>
      </c>
      <c r="L120" s="12">
        <f t="shared" si="50"/>
        <v>15670.891043782905</v>
      </c>
      <c r="M120" s="12">
        <f t="shared" si="50"/>
        <v>11550.576046392362</v>
      </c>
      <c r="N120" s="12">
        <f t="shared" si="50"/>
        <v>6999.5769281750036</v>
      </c>
      <c r="O120" s="12">
        <f t="shared" si="50"/>
        <v>5017.0136454954381</v>
      </c>
      <c r="P120" s="12">
        <f t="shared" si="50"/>
        <v>3717.9283831806006</v>
      </c>
      <c r="Q120" s="12">
        <f t="shared" si="50"/>
        <v>4742.4466934242628</v>
      </c>
      <c r="R120" s="12">
        <f t="shared" si="50"/>
        <v>4288.9548708721077</v>
      </c>
      <c r="S120" s="12">
        <f t="shared" si="50"/>
        <v>5655.6150330492846</v>
      </c>
      <c r="T120" s="12">
        <f t="shared" si="50"/>
        <v>12191.211845631906</v>
      </c>
      <c r="U120" s="94">
        <f t="shared" si="50"/>
        <v>12191.211845631906</v>
      </c>
      <c r="V120" s="12">
        <f t="shared" si="50"/>
        <v>21199.254550975202</v>
      </c>
      <c r="W120" s="229">
        <f t="shared" si="50"/>
        <v>-9008.0427053432941</v>
      </c>
    </row>
    <row r="121" spans="1:28" ht="14.4" thickTop="1" x14ac:dyDescent="0.3">
      <c r="E121" s="99"/>
      <c r="F121" s="99"/>
      <c r="G121" s="99"/>
      <c r="H121" s="1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152">
        <f>H120+U112</f>
        <v>12191.211845631919</v>
      </c>
      <c r="V121" s="236"/>
      <c r="W121" s="96"/>
    </row>
    <row r="122" spans="1:28" x14ac:dyDescent="0.3">
      <c r="H122" s="11"/>
      <c r="I122" s="135"/>
      <c r="U122" s="101">
        <f>U121-U120</f>
        <v>0</v>
      </c>
      <c r="V122" s="101"/>
      <c r="W122" s="5"/>
    </row>
    <row r="123" spans="1:28" x14ac:dyDescent="0.3">
      <c r="U123" s="135"/>
      <c r="V123" s="102"/>
      <c r="W123" s="60"/>
    </row>
    <row r="124" spans="1:28" x14ac:dyDescent="0.3">
      <c r="A124" s="133" t="s">
        <v>80</v>
      </c>
      <c r="I124" s="180" t="s">
        <v>106</v>
      </c>
      <c r="J124" s="166"/>
      <c r="K124" s="166"/>
      <c r="L124" s="166"/>
      <c r="M124" s="166"/>
      <c r="N124" s="166"/>
      <c r="O124" s="167"/>
      <c r="P124" s="168"/>
      <c r="Q124" s="166"/>
      <c r="R124" s="166"/>
      <c r="S124" s="166"/>
      <c r="T124" s="166"/>
      <c r="U124" s="169"/>
      <c r="V124" s="101"/>
      <c r="W124" s="53"/>
    </row>
    <row r="125" spans="1:28" x14ac:dyDescent="0.3">
      <c r="B125" s="25" t="s">
        <v>81</v>
      </c>
      <c r="I125" s="74">
        <f t="shared" ref="I125:T125" si="51">H130</f>
        <v>4230.0119375466993</v>
      </c>
      <c r="J125" s="74">
        <f t="shared" si="51"/>
        <v>3393.9980750581185</v>
      </c>
      <c r="K125" s="74">
        <f t="shared" si="51"/>
        <v>2551.5380654334094</v>
      </c>
      <c r="L125" s="74">
        <f t="shared" si="51"/>
        <v>1706.2326511527731</v>
      </c>
      <c r="M125" s="74">
        <f t="shared" si="51"/>
        <v>855.94318321252013</v>
      </c>
      <c r="N125" s="74">
        <f t="shared" si="51"/>
        <v>0.25144011958946066</v>
      </c>
      <c r="O125" s="74">
        <f t="shared" si="51"/>
        <v>0.25278712023011851</v>
      </c>
      <c r="P125" s="74">
        <f t="shared" si="51"/>
        <v>0.25418647750282097</v>
      </c>
      <c r="Q125" s="74">
        <f t="shared" si="51"/>
        <v>0.25559358121756875</v>
      </c>
      <c r="R125" s="74">
        <f t="shared" si="51"/>
        <v>0.25696283254551999</v>
      </c>
      <c r="S125" s="74">
        <f t="shared" si="51"/>
        <v>0.25838530536853982</v>
      </c>
      <c r="T125" s="74">
        <f t="shared" si="51"/>
        <v>0.25976951236158558</v>
      </c>
      <c r="U125" s="165">
        <f>H130</f>
        <v>4230.0119375466993</v>
      </c>
    </row>
    <row r="126" spans="1:28" x14ac:dyDescent="0.3">
      <c r="C126" s="110" t="s">
        <v>84</v>
      </c>
      <c r="I126" s="50">
        <f t="shared" ref="I126:T126" si="52">I128-I127</f>
        <v>836.01386248858068</v>
      </c>
      <c r="J126" s="50">
        <f t="shared" si="52"/>
        <v>842.4600096247093</v>
      </c>
      <c r="K126" s="50">
        <f t="shared" si="52"/>
        <v>845.30541428063646</v>
      </c>
      <c r="L126" s="50">
        <f t="shared" si="52"/>
        <v>850.28946794025296</v>
      </c>
      <c r="M126" s="50">
        <f t="shared" si="52"/>
        <v>855.69174309293066</v>
      </c>
      <c r="N126" s="50">
        <f t="shared" si="52"/>
        <v>-1.3470006406578253E-3</v>
      </c>
      <c r="O126" s="50">
        <f t="shared" si="52"/>
        <v>-1.399357272702442E-3</v>
      </c>
      <c r="P126" s="50">
        <f t="shared" si="52"/>
        <v>-1.4071037147477591E-3</v>
      </c>
      <c r="Q126" s="50">
        <f t="shared" si="52"/>
        <v>-1.3692513279512613E-3</v>
      </c>
      <c r="R126" s="50">
        <f t="shared" si="52"/>
        <v>-1.422472823019843E-3</v>
      </c>
      <c r="S126" s="50">
        <f t="shared" si="52"/>
        <v>-1.3842069930457492E-3</v>
      </c>
      <c r="T126" s="50">
        <f t="shared" si="52"/>
        <v>-1.4380098005730632E-3</v>
      </c>
      <c r="U126" s="149">
        <f>SUM(I126:T126)</f>
        <v>4229.750730024537</v>
      </c>
    </row>
    <row r="127" spans="1:28" x14ac:dyDescent="0.3">
      <c r="C127" s="110" t="s">
        <v>83</v>
      </c>
      <c r="F127" s="134"/>
      <c r="G127" s="98">
        <f>'[1]2022 Forecast'!G126</f>
        <v>6.5000000000000002E-2</v>
      </c>
      <c r="H127" s="109"/>
      <c r="I127" s="111">
        <f>($G127*I132/364)*I125</f>
        <v>23.41613751141923</v>
      </c>
      <c r="J127" s="111">
        <f t="shared" ref="J127:T127" si="53">($G127*J132/364)*J125</f>
        <v>16.969990375290593</v>
      </c>
      <c r="K127" s="111">
        <f t="shared" si="53"/>
        <v>14.124585719363518</v>
      </c>
      <c r="L127" s="111">
        <f t="shared" si="53"/>
        <v>9.1405320597470006</v>
      </c>
      <c r="M127" s="111">
        <f t="shared" si="53"/>
        <v>4.7382569070693084</v>
      </c>
      <c r="N127" s="111">
        <f t="shared" si="53"/>
        <v>1.3470006406578253E-3</v>
      </c>
      <c r="O127" s="111">
        <f t="shared" si="53"/>
        <v>1.399357272702442E-3</v>
      </c>
      <c r="P127" s="111">
        <f t="shared" si="53"/>
        <v>1.4071037147477591E-3</v>
      </c>
      <c r="Q127" s="111">
        <f t="shared" si="53"/>
        <v>1.3692513279512613E-3</v>
      </c>
      <c r="R127" s="111">
        <f t="shared" si="53"/>
        <v>1.422472823019843E-3</v>
      </c>
      <c r="S127" s="111">
        <f t="shared" si="53"/>
        <v>1.3842069930457492E-3</v>
      </c>
      <c r="T127" s="111">
        <f t="shared" si="53"/>
        <v>1.4380098005730632E-3</v>
      </c>
      <c r="U127" s="151">
        <f>SUM(I127:T127)</f>
        <v>68.399269975462374</v>
      </c>
    </row>
    <row r="128" spans="1:28" x14ac:dyDescent="0.3">
      <c r="D128" s="25" t="s">
        <v>85</v>
      </c>
      <c r="I128" s="50">
        <f>'[1]2022 Forecast'!I127</f>
        <v>859.43</v>
      </c>
      <c r="J128" s="50">
        <f>I128</f>
        <v>859.43</v>
      </c>
      <c r="K128" s="50">
        <f t="shared" ref="K128:T128" si="54">J128</f>
        <v>859.43</v>
      </c>
      <c r="L128" s="50">
        <f t="shared" si="54"/>
        <v>859.43</v>
      </c>
      <c r="M128" s="142">
        <f>L128+1</f>
        <v>860.43</v>
      </c>
      <c r="N128" s="50">
        <f>M128*0</f>
        <v>0</v>
      </c>
      <c r="O128" s="50">
        <f t="shared" si="54"/>
        <v>0</v>
      </c>
      <c r="P128" s="50">
        <f t="shared" si="54"/>
        <v>0</v>
      </c>
      <c r="Q128" s="50">
        <f t="shared" si="54"/>
        <v>0</v>
      </c>
      <c r="R128" s="50">
        <f t="shared" si="54"/>
        <v>0</v>
      </c>
      <c r="S128" s="50">
        <f t="shared" si="54"/>
        <v>0</v>
      </c>
      <c r="T128" s="50">
        <f t="shared" si="54"/>
        <v>0</v>
      </c>
      <c r="U128" s="149">
        <f>SUM(I128:T128)</f>
        <v>4298.1499999999996</v>
      </c>
      <c r="V128" s="60"/>
      <c r="AA128" s="55"/>
    </row>
    <row r="129" spans="3:22" x14ac:dyDescent="0.3">
      <c r="C129" s="25" t="s">
        <v>82</v>
      </c>
      <c r="H129" s="105"/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149">
        <f>SUM(I129:T129)</f>
        <v>0</v>
      </c>
    </row>
    <row r="130" spans="3:22" x14ac:dyDescent="0.3">
      <c r="D130" s="110" t="s">
        <v>86</v>
      </c>
      <c r="H130" s="112">
        <f>'[1]2022 Forecast'!M129*1</f>
        <v>4230.0119375466993</v>
      </c>
      <c r="I130" s="49">
        <f>I125+I129-I126</f>
        <v>3393.9980750581185</v>
      </c>
      <c r="J130" s="49">
        <f t="shared" ref="J130:U130" si="55">J125+J129-J126</f>
        <v>2551.5380654334094</v>
      </c>
      <c r="K130" s="49">
        <f t="shared" si="55"/>
        <v>1706.2326511527731</v>
      </c>
      <c r="L130" s="49">
        <f t="shared" si="55"/>
        <v>855.94318321252013</v>
      </c>
      <c r="M130" s="49">
        <f t="shared" si="55"/>
        <v>0.25144011958946066</v>
      </c>
      <c r="N130" s="49">
        <f t="shared" si="55"/>
        <v>0.25278712023011851</v>
      </c>
      <c r="O130" s="49">
        <f t="shared" si="55"/>
        <v>0.25418647750282097</v>
      </c>
      <c r="P130" s="49">
        <f t="shared" si="55"/>
        <v>0.25559358121756875</v>
      </c>
      <c r="Q130" s="49">
        <f t="shared" si="55"/>
        <v>0.25696283254551999</v>
      </c>
      <c r="R130" s="49">
        <f t="shared" si="55"/>
        <v>0.25838530536853982</v>
      </c>
      <c r="S130" s="49">
        <f t="shared" si="55"/>
        <v>0.25976951236158558</v>
      </c>
      <c r="T130" s="49">
        <f t="shared" si="55"/>
        <v>0.26120752216215865</v>
      </c>
      <c r="U130" s="150">
        <f t="shared" si="55"/>
        <v>0.26120752216229448</v>
      </c>
    </row>
    <row r="131" spans="3:22" x14ac:dyDescent="0.3"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</row>
    <row r="132" spans="3:22" x14ac:dyDescent="0.3">
      <c r="H132" s="109"/>
      <c r="I132" s="160">
        <v>31</v>
      </c>
      <c r="J132" s="160">
        <v>28</v>
      </c>
      <c r="K132" s="160">
        <v>31</v>
      </c>
      <c r="L132" s="160">
        <v>30</v>
      </c>
      <c r="M132" s="160">
        <v>31</v>
      </c>
      <c r="N132" s="160">
        <v>30</v>
      </c>
      <c r="O132" s="160">
        <v>31</v>
      </c>
      <c r="P132" s="160">
        <v>31</v>
      </c>
      <c r="Q132" s="160">
        <v>30</v>
      </c>
      <c r="R132" s="160">
        <v>31</v>
      </c>
      <c r="S132" s="160">
        <v>30</v>
      </c>
      <c r="T132" s="160">
        <v>31</v>
      </c>
      <c r="U132" s="158"/>
      <c r="V132" s="159"/>
    </row>
    <row r="133" spans="3:22" x14ac:dyDescent="0.3">
      <c r="I133" s="42"/>
      <c r="J133" s="42"/>
      <c r="K133" s="42"/>
      <c r="L133" s="42"/>
      <c r="M133" s="42"/>
      <c r="N133" s="42"/>
      <c r="O133" s="55"/>
      <c r="P133" s="55"/>
    </row>
    <row r="134" spans="3:22" x14ac:dyDescent="0.3">
      <c r="F134" s="156" t="str">
        <f>E104</f>
        <v>2023 - Project Spending - summary</v>
      </c>
      <c r="G134" s="157"/>
      <c r="I134" s="25"/>
    </row>
    <row r="135" spans="3:22" x14ac:dyDescent="0.3">
      <c r="G135" s="258" t="s">
        <v>135</v>
      </c>
      <c r="H135" s="146">
        <f>L135</f>
        <v>0</v>
      </c>
      <c r="I135" s="42">
        <v>0</v>
      </c>
      <c r="J135" s="42">
        <v>0</v>
      </c>
      <c r="K135" s="42">
        <f>12000*0</f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136" t="s">
        <v>171</v>
      </c>
    </row>
    <row r="136" spans="3:22" x14ac:dyDescent="0.3">
      <c r="F136" s="144"/>
      <c r="G136" s="144" t="s">
        <v>172</v>
      </c>
      <c r="H136" s="155">
        <v>0</v>
      </c>
      <c r="I136" s="42">
        <v>0</v>
      </c>
      <c r="J136" s="42">
        <v>0</v>
      </c>
      <c r="K136" s="42">
        <v>0</v>
      </c>
      <c r="L136" s="182">
        <v>2500</v>
      </c>
      <c r="M136" s="182">
        <v>2500</v>
      </c>
      <c r="N136" s="42">
        <v>0</v>
      </c>
      <c r="O136" s="42">
        <v>0</v>
      </c>
      <c r="P136" s="42">
        <v>0</v>
      </c>
      <c r="Q136" s="42">
        <v>0</v>
      </c>
      <c r="R136" s="42">
        <v>0</v>
      </c>
      <c r="S136" s="42">
        <v>0</v>
      </c>
      <c r="T136" s="42">
        <v>0</v>
      </c>
      <c r="U136" s="136"/>
    </row>
    <row r="137" spans="3:22" x14ac:dyDescent="0.3">
      <c r="G137" s="145" t="s">
        <v>133</v>
      </c>
      <c r="H137" s="155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136" t="s">
        <v>171</v>
      </c>
    </row>
    <row r="138" spans="3:22" x14ac:dyDescent="0.3">
      <c r="G138" s="144" t="s">
        <v>173</v>
      </c>
      <c r="H138" s="155">
        <v>0</v>
      </c>
      <c r="I138" s="42">
        <v>0</v>
      </c>
      <c r="J138" s="182">
        <v>15000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136"/>
    </row>
    <row r="139" spans="3:22" x14ac:dyDescent="0.3">
      <c r="G139" s="144" t="s">
        <v>98</v>
      </c>
      <c r="H139" s="155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136"/>
    </row>
    <row r="140" spans="3:22" x14ac:dyDescent="0.3">
      <c r="G140" s="144" t="s">
        <v>169</v>
      </c>
      <c r="H140" s="155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182">
        <v>3500</v>
      </c>
      <c r="T140" s="42">
        <v>0</v>
      </c>
      <c r="U140" s="136"/>
    </row>
    <row r="141" spans="3:22" x14ac:dyDescent="0.3">
      <c r="G141" s="145" t="s">
        <v>98</v>
      </c>
      <c r="H141" s="155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f>3500*0</f>
        <v>0</v>
      </c>
      <c r="R141" s="42">
        <v>0</v>
      </c>
      <c r="S141" s="42">
        <v>0</v>
      </c>
      <c r="T141" s="42">
        <v>0</v>
      </c>
      <c r="U141" s="136"/>
    </row>
    <row r="142" spans="3:22" x14ac:dyDescent="0.3">
      <c r="G142" s="145" t="s">
        <v>170</v>
      </c>
      <c r="H142" s="155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136"/>
    </row>
    <row r="143" spans="3:22" ht="7.5" customHeight="1" x14ac:dyDescent="0.3"/>
    <row r="144" spans="3:22" x14ac:dyDescent="0.3">
      <c r="H144" s="49">
        <f t="shared" ref="H144:T144" si="56">SUM(H135:H143)</f>
        <v>0</v>
      </c>
      <c r="I144" s="49">
        <f t="shared" si="56"/>
        <v>0</v>
      </c>
      <c r="J144" s="49">
        <f t="shared" si="56"/>
        <v>15000</v>
      </c>
      <c r="K144" s="49">
        <f t="shared" si="56"/>
        <v>0</v>
      </c>
      <c r="L144" s="49">
        <f t="shared" si="56"/>
        <v>2500</v>
      </c>
      <c r="M144" s="49">
        <f t="shared" si="56"/>
        <v>2500</v>
      </c>
      <c r="N144" s="49">
        <f t="shared" si="56"/>
        <v>0</v>
      </c>
      <c r="O144" s="49">
        <f t="shared" si="56"/>
        <v>0</v>
      </c>
      <c r="P144" s="49">
        <f t="shared" si="56"/>
        <v>0</v>
      </c>
      <c r="Q144" s="49">
        <f t="shared" si="56"/>
        <v>0</v>
      </c>
      <c r="R144" s="49">
        <f t="shared" si="56"/>
        <v>0</v>
      </c>
      <c r="S144" s="49">
        <f t="shared" si="56"/>
        <v>3500</v>
      </c>
      <c r="T144" s="49">
        <f t="shared" si="56"/>
        <v>0</v>
      </c>
    </row>
    <row r="146" spans="8:9" x14ac:dyDescent="0.3">
      <c r="H146" s="55"/>
    </row>
    <row r="157" spans="8:9" x14ac:dyDescent="0.3">
      <c r="I157" s="25"/>
    </row>
    <row r="158" spans="8:9" x14ac:dyDescent="0.3">
      <c r="I158" s="25"/>
    </row>
    <row r="159" spans="8:9" x14ac:dyDescent="0.3">
      <c r="I159" s="25"/>
    </row>
  </sheetData>
  <pageMargins left="0.25" right="0.25" top="0.75" bottom="0.75" header="0.3" footer="0.3"/>
  <pageSetup scale="74" fitToHeight="3" orientation="portrait" r:id="rId1"/>
  <headerFooter>
    <oddFooter>&amp;L&amp;D</oddFooter>
  </headerFooter>
  <rowBreaks count="1" manualBreakCount="1">
    <brk id="62" max="23" man="1"/>
  </rowBreaks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ntry="1">
    <pageSetUpPr fitToPage="1"/>
  </sheetPr>
  <dimension ref="A1:AD161"/>
  <sheetViews>
    <sheetView workbookViewId="0"/>
  </sheetViews>
  <sheetFormatPr defaultColWidth="9.109375" defaultRowHeight="13.8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20" width="8.88671875" style="26" customWidth="1" outlineLevel="1"/>
    <col min="21" max="21" width="12.5546875" style="26" customWidth="1"/>
    <col min="22" max="23" width="12.5546875" style="55" customWidth="1"/>
    <col min="24" max="24" width="2.6640625" style="26" customWidth="1"/>
    <col min="25" max="33" width="9.109375" style="26" customWidth="1"/>
    <col min="34" max="16384" width="9.109375" style="26"/>
  </cols>
  <sheetData>
    <row r="1" spans="1:30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0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0"/>
    </row>
    <row r="3" spans="1:30" x14ac:dyDescent="0.3">
      <c r="A3" s="153" t="s">
        <v>147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0"/>
      <c r="Z3" s="196" t="s">
        <v>110</v>
      </c>
    </row>
    <row r="4" spans="1:30" x14ac:dyDescent="0.3">
      <c r="A4" s="4"/>
      <c r="B4" s="6"/>
      <c r="C4" s="28"/>
      <c r="D4" s="28"/>
      <c r="E4" s="28"/>
      <c r="F4" s="28"/>
      <c r="G4" s="205">
        <v>44522.399374884262</v>
      </c>
      <c r="H4" s="28"/>
      <c r="I4" s="3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6"/>
      <c r="V4" s="75"/>
      <c r="W4" s="230" t="s">
        <v>40</v>
      </c>
      <c r="AA4" s="86"/>
    </row>
    <row r="5" spans="1:30" x14ac:dyDescent="0.3">
      <c r="A5" s="8"/>
      <c r="B5" s="31"/>
      <c r="C5" s="31"/>
      <c r="D5" s="31"/>
      <c r="E5" s="31"/>
      <c r="F5" s="31"/>
      <c r="G5" s="97">
        <f ca="1">NOW()</f>
        <v>45992.636546412039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7">
        <v>2022</v>
      </c>
      <c r="V5" s="88">
        <v>2021</v>
      </c>
      <c r="W5" s="231" t="s">
        <v>111</v>
      </c>
      <c r="X5" s="33"/>
    </row>
    <row r="6" spans="1:30" x14ac:dyDescent="0.3">
      <c r="A6" s="26"/>
      <c r="I6" s="34" t="s">
        <v>41</v>
      </c>
      <c r="J6" s="34" t="s">
        <v>41</v>
      </c>
      <c r="K6" s="34" t="s">
        <v>41</v>
      </c>
      <c r="L6" s="34" t="s">
        <v>41</v>
      </c>
      <c r="M6" s="34" t="s">
        <v>41</v>
      </c>
      <c r="N6" s="34" t="s">
        <v>41</v>
      </c>
      <c r="O6" s="34" t="s">
        <v>41</v>
      </c>
      <c r="P6" s="34" t="s">
        <v>41</v>
      </c>
      <c r="Q6" s="34" t="s">
        <v>41</v>
      </c>
      <c r="R6" s="34" t="s">
        <v>41</v>
      </c>
      <c r="S6" s="34" t="s">
        <v>41</v>
      </c>
      <c r="T6" s="34" t="s">
        <v>41</v>
      </c>
      <c r="U6" s="66" t="s">
        <v>41</v>
      </c>
      <c r="V6" s="37" t="s">
        <v>42</v>
      </c>
      <c r="W6" s="77" t="s">
        <v>43</v>
      </c>
      <c r="X6" s="33"/>
    </row>
    <row r="7" spans="1:30" s="38" customFormat="1" ht="14.4" thickBot="1" x14ac:dyDescent="0.35">
      <c r="A7" s="37"/>
      <c r="B7" s="37"/>
      <c r="C7" s="37"/>
      <c r="D7" s="37"/>
      <c r="E7" s="37"/>
      <c r="F7" s="37"/>
      <c r="G7" s="37"/>
      <c r="H7" s="37"/>
      <c r="I7" s="36" t="s">
        <v>35</v>
      </c>
      <c r="J7" s="36" t="s">
        <v>36</v>
      </c>
      <c r="K7" s="36" t="s">
        <v>37</v>
      </c>
      <c r="L7" s="36" t="s">
        <v>38</v>
      </c>
      <c r="M7" s="36" t="s">
        <v>39</v>
      </c>
      <c r="N7" s="36" t="s">
        <v>49</v>
      </c>
      <c r="O7" s="36" t="s">
        <v>50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68" t="s">
        <v>67</v>
      </c>
      <c r="V7" s="36" t="s">
        <v>67</v>
      </c>
      <c r="W7" s="78" t="s">
        <v>127</v>
      </c>
      <c r="X7" s="37"/>
    </row>
    <row r="8" spans="1:30" ht="15.75" customHeight="1" thickTop="1" x14ac:dyDescent="0.3">
      <c r="A8" s="33"/>
      <c r="B8" s="40" t="str">
        <f>'[2]2021 Forecast'!B8</f>
        <v>Ordinary Income/Expense</v>
      </c>
      <c r="C8" s="33"/>
      <c r="D8" s="33"/>
      <c r="E8" s="33"/>
      <c r="F8" s="33"/>
      <c r="G8" s="33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9"/>
      <c r="V8" s="41"/>
      <c r="W8" s="232"/>
      <c r="X8" s="33"/>
    </row>
    <row r="9" spans="1:30" ht="15.75" customHeight="1" x14ac:dyDescent="0.3">
      <c r="A9" s="33"/>
      <c r="B9" s="33"/>
      <c r="C9" s="127" t="str">
        <f>'[2]2021 Forecast'!C9</f>
        <v>Income</v>
      </c>
      <c r="D9" s="33"/>
      <c r="E9" s="33"/>
      <c r="F9" s="33"/>
      <c r="G9" s="33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25"/>
      <c r="V9" s="24"/>
      <c r="W9" s="233"/>
    </row>
    <row r="10" spans="1:30" ht="15.75" customHeight="1" x14ac:dyDescent="0.3">
      <c r="A10" s="33"/>
      <c r="B10" s="33"/>
      <c r="C10" s="33"/>
      <c r="D10" s="33" t="str">
        <f>'[2]2021 Forecast'!D10</f>
        <v>Dues</v>
      </c>
      <c r="E10" s="33"/>
      <c r="F10" s="33"/>
      <c r="G10" s="33"/>
      <c r="H10" s="118" t="s">
        <v>126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5"/>
      <c r="V10" s="24"/>
      <c r="W10" s="233"/>
      <c r="Z10" s="140" t="s">
        <v>101</v>
      </c>
      <c r="AA10" s="140" t="s">
        <v>102</v>
      </c>
      <c r="AB10" s="140" t="s">
        <v>103</v>
      </c>
      <c r="AC10" s="38"/>
    </row>
    <row r="11" spans="1:30" ht="15.75" customHeight="1" x14ac:dyDescent="0.3">
      <c r="A11" s="33"/>
      <c r="B11" s="33"/>
      <c r="C11" s="33"/>
      <c r="D11" s="33"/>
      <c r="E11" s="136" t="str">
        <f>'[2]2021 Forecast'!E11</f>
        <v>Dues Adjustments</v>
      </c>
      <c r="F11" s="33"/>
      <c r="G11" s="33"/>
      <c r="H11" s="118"/>
      <c r="I11" s="42">
        <v>-509.96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70">
        <f>SUM(I11:T11)</f>
        <v>-509.96</v>
      </c>
      <c r="V11" s="50">
        <f>'[2]2021 Forecast'!M11</f>
        <v>-509.96</v>
      </c>
      <c r="W11" s="82">
        <f t="shared" ref="W11" si="0">U11-V11</f>
        <v>0</v>
      </c>
      <c r="Z11" s="140"/>
      <c r="AA11" s="140"/>
      <c r="AB11" s="140"/>
      <c r="AC11" s="38"/>
    </row>
    <row r="12" spans="1:30" ht="15.75" customHeight="1" x14ac:dyDescent="0.3">
      <c r="A12" s="33"/>
      <c r="B12" s="33"/>
      <c r="C12" s="33"/>
      <c r="D12" s="33"/>
      <c r="E12" s="33" t="str">
        <f>'[2]2021 Forecast'!E12</f>
        <v>HOA Dues</v>
      </c>
      <c r="F12" s="33"/>
      <c r="G12" s="33"/>
      <c r="H12" s="113">
        <f>'[2]2021 Forecast'!H12*1.045</f>
        <v>90.914999999999992</v>
      </c>
      <c r="I12" s="42">
        <f>($AA12*$H12*3)+($AB12*$H12)+(5*$H12)+(5*$H12)+3000</f>
        <v>18819.21</v>
      </c>
      <c r="J12" s="42">
        <f>H12*AB12</f>
        <v>7545.9449999999997</v>
      </c>
      <c r="K12" s="50">
        <f>J12</f>
        <v>7545.9449999999997</v>
      </c>
      <c r="L12" s="42">
        <f>($AA12*$H12*3)+($AB12*$H12)</f>
        <v>14910.06</v>
      </c>
      <c r="M12" s="50">
        <f>K12</f>
        <v>7545.9449999999997</v>
      </c>
      <c r="N12" s="50">
        <f>M12</f>
        <v>7545.9449999999997</v>
      </c>
      <c r="O12" s="42">
        <f>($AA12*$H12*3)+($AB12*$H12)+(5*$H12)+3000</f>
        <v>18364.635000000002</v>
      </c>
      <c r="P12" s="50">
        <f>N12</f>
        <v>7545.9449999999997</v>
      </c>
      <c r="Q12" s="50">
        <f>P12</f>
        <v>7545.9449999999997</v>
      </c>
      <c r="R12" s="50">
        <f>L12+3546</f>
        <v>18456.059999999998</v>
      </c>
      <c r="S12" s="50">
        <f>Q12</f>
        <v>7545.9449999999997</v>
      </c>
      <c r="T12" s="50">
        <f>S12</f>
        <v>7545.9449999999997</v>
      </c>
      <c r="U12" s="240">
        <f>SUM(I12:T12)</f>
        <v>130917.52500000002</v>
      </c>
      <c r="V12" s="239">
        <f>'[2]2021 Forecast'!M12</f>
        <v>125280</v>
      </c>
      <c r="W12" s="241">
        <f>U12-V12</f>
        <v>5637.5250000000233</v>
      </c>
      <c r="Z12" s="37">
        <f>'[2]2021 Forecast'!S12</f>
        <v>10</v>
      </c>
      <c r="AA12" s="37">
        <f>'[2]2021 Forecast'!T12</f>
        <v>27</v>
      </c>
      <c r="AB12" s="37">
        <f>'[2]2021 Forecast'!U12</f>
        <v>83</v>
      </c>
      <c r="AC12" s="37">
        <f>SUM(Z12:AB12)</f>
        <v>120</v>
      </c>
      <c r="AD12" s="55">
        <f>AC12*H12*12</f>
        <v>130917.59999999999</v>
      </c>
    </row>
    <row r="13" spans="1:30" ht="15.75" customHeight="1" x14ac:dyDescent="0.3">
      <c r="A13" s="33"/>
      <c r="B13" s="33"/>
      <c r="C13" s="33"/>
      <c r="D13" s="33"/>
      <c r="E13" s="33" t="str">
        <f>'[2]2021 Forecast'!E13</f>
        <v>Late Payments (Dues)</v>
      </c>
      <c r="F13" s="33"/>
      <c r="G13" s="33"/>
      <c r="H13" s="154"/>
      <c r="I13" s="42">
        <f>H12*-2</f>
        <v>-181.82999999999998</v>
      </c>
      <c r="J13" s="50">
        <f>I13</f>
        <v>-181.82999999999998</v>
      </c>
      <c r="K13" s="50">
        <f t="shared" ref="K13:T13" si="1">J13</f>
        <v>-181.82999999999998</v>
      </c>
      <c r="L13" s="50">
        <f t="shared" si="1"/>
        <v>-181.82999999999998</v>
      </c>
      <c r="M13" s="50">
        <f t="shared" si="1"/>
        <v>-181.82999999999998</v>
      </c>
      <c r="N13" s="50">
        <f t="shared" si="1"/>
        <v>-181.82999999999998</v>
      </c>
      <c r="O13" s="50">
        <f t="shared" si="1"/>
        <v>-181.82999999999998</v>
      </c>
      <c r="P13" s="50">
        <f t="shared" si="1"/>
        <v>-181.82999999999998</v>
      </c>
      <c r="Q13" s="50">
        <f t="shared" si="1"/>
        <v>-181.82999999999998</v>
      </c>
      <c r="R13" s="50">
        <f t="shared" si="1"/>
        <v>-181.82999999999998</v>
      </c>
      <c r="S13" s="50">
        <f t="shared" si="1"/>
        <v>-181.82999999999998</v>
      </c>
      <c r="T13" s="50">
        <f t="shared" si="1"/>
        <v>-181.82999999999998</v>
      </c>
      <c r="U13" s="70">
        <f>SUM(I13:T13)</f>
        <v>-2181.9599999999996</v>
      </c>
      <c r="V13" s="50">
        <f>'[2]2021 Forecast'!M13</f>
        <v>-1960</v>
      </c>
      <c r="W13" s="82">
        <f t="shared" ref="W13:W21" si="2">U13-V13</f>
        <v>-221.95999999999958</v>
      </c>
      <c r="Y13" s="243" t="s">
        <v>104</v>
      </c>
      <c r="AD13" s="53">
        <f>AD12-U12</f>
        <v>7.4999999967985786E-2</v>
      </c>
    </row>
    <row r="14" spans="1:30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71"/>
      <c r="V14" s="80"/>
      <c r="W14" s="83"/>
      <c r="Z14" s="116"/>
      <c r="AD14" s="117"/>
    </row>
    <row r="15" spans="1:30" ht="15.75" customHeight="1" x14ac:dyDescent="0.3">
      <c r="A15" s="33"/>
      <c r="B15" s="33"/>
      <c r="C15" s="33"/>
      <c r="D15" s="127" t="str">
        <f>'[2]2021 Forecast'!D15</f>
        <v>Total Dues</v>
      </c>
      <c r="E15" s="33"/>
      <c r="F15" s="33"/>
      <c r="G15" s="33"/>
      <c r="H15" s="33"/>
      <c r="I15" s="44">
        <f>SUM(I10:I14)</f>
        <v>18127.419999999998</v>
      </c>
      <c r="J15" s="44">
        <f t="shared" ref="J15:W15" si="3">SUM(J10:J14)</f>
        <v>7364.1149999999998</v>
      </c>
      <c r="K15" s="44">
        <f t="shared" si="3"/>
        <v>7364.1149999999998</v>
      </c>
      <c r="L15" s="44">
        <f t="shared" si="3"/>
        <v>14728.23</v>
      </c>
      <c r="M15" s="44">
        <f t="shared" si="3"/>
        <v>7364.1149999999998</v>
      </c>
      <c r="N15" s="44">
        <f t="shared" si="3"/>
        <v>7364.1149999999998</v>
      </c>
      <c r="O15" s="44">
        <f t="shared" si="3"/>
        <v>18182.805</v>
      </c>
      <c r="P15" s="44">
        <f t="shared" si="3"/>
        <v>7364.1149999999998</v>
      </c>
      <c r="Q15" s="44">
        <f t="shared" si="3"/>
        <v>7364.1149999999998</v>
      </c>
      <c r="R15" s="44">
        <f t="shared" si="3"/>
        <v>18274.229999999996</v>
      </c>
      <c r="S15" s="44">
        <f t="shared" si="3"/>
        <v>7364.1149999999998</v>
      </c>
      <c r="T15" s="44">
        <f t="shared" si="3"/>
        <v>7364.1149999999998</v>
      </c>
      <c r="U15" s="72">
        <f t="shared" si="3"/>
        <v>128225.60500000001</v>
      </c>
      <c r="V15" s="44">
        <f t="shared" si="3"/>
        <v>122810.04</v>
      </c>
      <c r="W15" s="84">
        <f t="shared" si="3"/>
        <v>5415.5650000000242</v>
      </c>
      <c r="Y15" s="242">
        <f>U15-V15</f>
        <v>5415.5650000000169</v>
      </c>
    </row>
    <row r="16" spans="1:30" ht="15.75" customHeight="1" x14ac:dyDescent="0.3">
      <c r="A16" s="33"/>
      <c r="B16" s="33"/>
      <c r="C16" s="33"/>
      <c r="D16" s="33"/>
      <c r="E16" s="33"/>
      <c r="F16" s="33"/>
      <c r="G16" s="45"/>
      <c r="H16" s="33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0"/>
      <c r="V16" s="50"/>
      <c r="W16" s="82"/>
      <c r="X16" s="33"/>
      <c r="Y16" s="243"/>
    </row>
    <row r="17" spans="1:25" ht="15.75" customHeight="1" x14ac:dyDescent="0.3">
      <c r="A17" s="33"/>
      <c r="B17" s="33"/>
      <c r="C17" s="33"/>
      <c r="D17" s="33" t="str">
        <f>'[2]2021 Forecast'!D17</f>
        <v>Interest Income</v>
      </c>
      <c r="E17" s="33"/>
      <c r="F17" s="33"/>
      <c r="G17" s="33"/>
      <c r="H17" s="174">
        <f>'[2]2021 Forecast'!H17</f>
        <v>7.4999999999999997E-3</v>
      </c>
      <c r="I17" s="50">
        <f t="shared" ref="I17:T17" si="4">$H$17*H122</f>
        <v>190.20882031249999</v>
      </c>
      <c r="J17" s="50">
        <f t="shared" si="4"/>
        <v>290.17256146484368</v>
      </c>
      <c r="K17" s="50">
        <f t="shared" si="4"/>
        <v>261.03624317583007</v>
      </c>
      <c r="L17" s="50">
        <f t="shared" si="4"/>
        <v>257.18140249964875</v>
      </c>
      <c r="M17" s="50">
        <f t="shared" si="4"/>
        <v>183.2785130183961</v>
      </c>
      <c r="N17" s="50">
        <f t="shared" si="4"/>
        <v>150.81298936603409</v>
      </c>
      <c r="O17" s="50">
        <f t="shared" si="4"/>
        <v>81.436974286279323</v>
      </c>
      <c r="P17" s="50">
        <f t="shared" si="4"/>
        <v>131.92781409342641</v>
      </c>
      <c r="Q17" s="50">
        <f t="shared" si="4"/>
        <v>112.23216019912712</v>
      </c>
      <c r="R17" s="50">
        <f t="shared" si="4"/>
        <v>73.233788900620581</v>
      </c>
      <c r="S17" s="50">
        <f t="shared" si="4"/>
        <v>134.42129231737519</v>
      </c>
      <c r="T17" s="50">
        <f t="shared" si="4"/>
        <v>135.24183950975552</v>
      </c>
      <c r="U17" s="70">
        <f>SUM(I17:T17)</f>
        <v>2001.1843991438368</v>
      </c>
      <c r="V17" s="50">
        <f>'[2]2021 Forecast'!M17</f>
        <v>402.78066875000002</v>
      </c>
      <c r="W17" s="82">
        <f t="shared" si="2"/>
        <v>1598.4037303938367</v>
      </c>
      <c r="Y17" s="243"/>
    </row>
    <row r="18" spans="1:25" ht="15.75" customHeight="1" x14ac:dyDescent="0.3">
      <c r="A18" s="33"/>
      <c r="B18" s="33"/>
      <c r="C18" s="33"/>
      <c r="D18" s="33" t="str">
        <f>'[2]2021 Forecast'!D18</f>
        <v>Legal Fees / Lien Fees Assessed</v>
      </c>
      <c r="E18" s="33"/>
      <c r="F18" s="33"/>
      <c r="G18" s="33"/>
      <c r="H18" s="174"/>
      <c r="I18" s="42">
        <v>100</v>
      </c>
      <c r="J18" s="42">
        <v>100</v>
      </c>
      <c r="K18" s="42">
        <v>100</v>
      </c>
      <c r="L18" s="42">
        <v>100</v>
      </c>
      <c r="M18" s="42">
        <v>100</v>
      </c>
      <c r="N18" s="42">
        <v>100</v>
      </c>
      <c r="O18" s="42">
        <v>100</v>
      </c>
      <c r="P18" s="42">
        <v>100</v>
      </c>
      <c r="Q18" s="42">
        <v>100</v>
      </c>
      <c r="R18" s="42">
        <v>100</v>
      </c>
      <c r="S18" s="42">
        <v>100</v>
      </c>
      <c r="T18" s="42">
        <v>100</v>
      </c>
      <c r="U18" s="70">
        <f>SUM(I18:T18)</f>
        <v>1200</v>
      </c>
      <c r="V18" s="50">
        <f>'[2]2021 Forecast'!M18</f>
        <v>2216.44</v>
      </c>
      <c r="W18" s="82">
        <f t="shared" si="2"/>
        <v>-1016.44</v>
      </c>
      <c r="Y18" s="243"/>
    </row>
    <row r="19" spans="1:25" ht="15.75" customHeight="1" x14ac:dyDescent="0.3">
      <c r="A19" s="33"/>
      <c r="B19" s="33"/>
      <c r="C19" s="33"/>
      <c r="D19" s="33" t="str">
        <f>'[2]2021 Forecast'!D19</f>
        <v>Unapplied Cash Payment Income</v>
      </c>
      <c r="E19" s="33"/>
      <c r="F19" s="33"/>
      <c r="G19" s="33"/>
      <c r="H19" s="33"/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70">
        <f>SUM(I19:T19)</f>
        <v>0</v>
      </c>
      <c r="V19" s="50">
        <f>'[2]2021 Forecast'!M19</f>
        <v>1613.3</v>
      </c>
      <c r="W19" s="82">
        <f t="shared" si="2"/>
        <v>-1613.3</v>
      </c>
      <c r="Y19" s="243"/>
    </row>
    <row r="20" spans="1:25" ht="15.75" customHeight="1" x14ac:dyDescent="0.3">
      <c r="A20" s="33"/>
      <c r="B20" s="33"/>
      <c r="C20" s="33"/>
      <c r="D20" s="33" t="str">
        <f>'[2]2021 Forecast'!D20</f>
        <v>Uncategorized Income</v>
      </c>
      <c r="E20" s="33"/>
      <c r="F20" s="33"/>
      <c r="G20" s="33"/>
      <c r="H20" s="33"/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70">
        <f>SUM(I20:T20)</f>
        <v>0</v>
      </c>
      <c r="V20" s="50">
        <f>'[2]2021 Forecast'!M20</f>
        <v>1005.06</v>
      </c>
      <c r="W20" s="82">
        <f t="shared" si="2"/>
        <v>-1005.06</v>
      </c>
      <c r="Y20" s="243"/>
    </row>
    <row r="21" spans="1:25" ht="15.75" customHeight="1" x14ac:dyDescent="0.3">
      <c r="A21" s="33"/>
      <c r="B21" s="33"/>
      <c r="C21" s="33"/>
      <c r="D21" s="33" t="str">
        <f>'[2]2021 Forecast'!D21</f>
        <v>Arapaho Median Reimbursement</v>
      </c>
      <c r="E21" s="33"/>
      <c r="F21" s="33"/>
      <c r="G21" s="33"/>
      <c r="H21" s="33"/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74">
        <f>SUM(I56:N56,I92:N92)/3*1</f>
        <v>132.06666666666663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50">
        <f>SUM(O56:T56,O92:T92)/3*1</f>
        <v>65.399999999999991</v>
      </c>
      <c r="U21" s="207">
        <f>SUM(I21:T21)</f>
        <v>197.46666666666664</v>
      </c>
      <c r="V21" s="74">
        <f>'[2]2021 Forecast'!M21</f>
        <v>138.62333333333333</v>
      </c>
      <c r="W21" s="208">
        <f t="shared" si="2"/>
        <v>58.843333333333305</v>
      </c>
      <c r="Y21" s="243"/>
    </row>
    <row r="22" spans="1:25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46"/>
      <c r="U22" s="70"/>
      <c r="V22" s="50"/>
      <c r="W22" s="82"/>
      <c r="Y22" s="243"/>
    </row>
    <row r="23" spans="1:25" ht="15.75" customHeight="1" x14ac:dyDescent="0.3">
      <c r="A23" s="33"/>
      <c r="B23" s="33"/>
      <c r="C23" s="127" t="str">
        <f>'[2]2021 Forecast'!C23</f>
        <v>Total Income &amp; Dues</v>
      </c>
      <c r="D23" s="33"/>
      <c r="E23" s="33"/>
      <c r="F23" s="33"/>
      <c r="G23" s="33"/>
      <c r="H23" s="33"/>
      <c r="I23" s="44">
        <f>SUM(I17:I22)+I15</f>
        <v>18417.628820312497</v>
      </c>
      <c r="J23" s="44">
        <f t="shared" ref="J23:T23" si="5">SUM(J17:J22)+J15</f>
        <v>7754.2875614648437</v>
      </c>
      <c r="K23" s="44">
        <f t="shared" si="5"/>
        <v>7725.1512431758301</v>
      </c>
      <c r="L23" s="44">
        <f t="shared" si="5"/>
        <v>15085.411402499649</v>
      </c>
      <c r="M23" s="44">
        <f t="shared" si="5"/>
        <v>7647.3935130183963</v>
      </c>
      <c r="N23" s="44">
        <f t="shared" si="5"/>
        <v>7746.9946560327007</v>
      </c>
      <c r="O23" s="44">
        <f t="shared" si="5"/>
        <v>18364.24197428628</v>
      </c>
      <c r="P23" s="44">
        <f t="shared" si="5"/>
        <v>7596.0428140934264</v>
      </c>
      <c r="Q23" s="44">
        <f t="shared" si="5"/>
        <v>7576.3471601991268</v>
      </c>
      <c r="R23" s="44">
        <f t="shared" si="5"/>
        <v>18447.463788900615</v>
      </c>
      <c r="S23" s="44">
        <f t="shared" si="5"/>
        <v>7598.5362923173752</v>
      </c>
      <c r="T23" s="44">
        <f t="shared" si="5"/>
        <v>7664.7568395097551</v>
      </c>
      <c r="U23" s="72">
        <f t="shared" ref="U23" si="6">SUM(U17:U22)+U15</f>
        <v>131624.25606581051</v>
      </c>
      <c r="V23" s="44">
        <f t="shared" ref="V23:W23" si="7">SUM(V17:V22)+V15</f>
        <v>128186.24400208333</v>
      </c>
      <c r="W23" s="84">
        <f t="shared" si="7"/>
        <v>3438.0120637271939</v>
      </c>
      <c r="Y23" s="242">
        <f>U23-V23</f>
        <v>3438.0120637271757</v>
      </c>
    </row>
    <row r="24" spans="1:25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70"/>
      <c r="V24" s="50"/>
      <c r="W24" s="82"/>
      <c r="Y24" s="243"/>
    </row>
    <row r="25" spans="1:25" ht="15.75" customHeight="1" x14ac:dyDescent="0.3">
      <c r="A25" s="33"/>
      <c r="B25" s="33"/>
      <c r="C25" s="127" t="str">
        <f>'[2]2021 Forecast'!C25</f>
        <v>Administrative Expense</v>
      </c>
      <c r="D25" s="33"/>
      <c r="E25" s="33"/>
      <c r="F25" s="33"/>
      <c r="G25" s="33"/>
      <c r="H25" s="33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70"/>
      <c r="V25" s="50"/>
      <c r="W25" s="82"/>
      <c r="Y25" s="243"/>
    </row>
    <row r="26" spans="1:25" ht="15.75" customHeight="1" x14ac:dyDescent="0.3">
      <c r="A26" s="33"/>
      <c r="B26" s="33"/>
      <c r="C26" s="127"/>
      <c r="D26" s="45" t="str">
        <f>'[2]2021 Forecast'!D26</f>
        <v>Bank Service Charges &amp; Fees</v>
      </c>
      <c r="E26" s="33"/>
      <c r="F26" s="33"/>
      <c r="G26" s="33"/>
      <c r="H26" s="33"/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70">
        <f t="shared" ref="U26:U39" si="8">SUM(I26:T26)</f>
        <v>0</v>
      </c>
      <c r="V26" s="50">
        <f>'[2]2021 Forecast'!M26</f>
        <v>41.14</v>
      </c>
      <c r="W26" s="82">
        <f>V26-U26</f>
        <v>41.14</v>
      </c>
      <c r="Y26" s="243"/>
    </row>
    <row r="27" spans="1:25" ht="15.75" customHeight="1" x14ac:dyDescent="0.3">
      <c r="A27" s="33"/>
      <c r="B27" s="33"/>
      <c r="C27" s="33"/>
      <c r="D27" s="45" t="str">
        <f>'[2]2021 Forecast'!D27</f>
        <v>Accounting Fees-incl. tax/audit</v>
      </c>
      <c r="E27" s="33"/>
      <c r="F27" s="33"/>
      <c r="G27" s="33"/>
      <c r="H27" s="33"/>
      <c r="I27" s="42">
        <v>325</v>
      </c>
      <c r="J27" s="42">
        <v>325</v>
      </c>
      <c r="K27" s="42">
        <v>325</v>
      </c>
      <c r="L27" s="42">
        <v>325</v>
      </c>
      <c r="M27" s="247">
        <v>725</v>
      </c>
      <c r="N27" s="247">
        <v>650</v>
      </c>
      <c r="O27" s="42">
        <v>325</v>
      </c>
      <c r="P27" s="42">
        <v>325</v>
      </c>
      <c r="Q27" s="42">
        <v>325</v>
      </c>
      <c r="R27" s="42">
        <v>325</v>
      </c>
      <c r="S27" s="42">
        <v>325</v>
      </c>
      <c r="T27" s="42">
        <v>325</v>
      </c>
      <c r="U27" s="70">
        <f t="shared" si="8"/>
        <v>4625</v>
      </c>
      <c r="V27" s="50">
        <f>'[2]2021 Forecast'!M27</f>
        <v>3775</v>
      </c>
      <c r="W27" s="82">
        <f>V27-U27</f>
        <v>-850</v>
      </c>
      <c r="X27" s="33"/>
      <c r="Y27" s="243"/>
    </row>
    <row r="28" spans="1:25" ht="15.75" customHeight="1" x14ac:dyDescent="0.3">
      <c r="A28" s="33"/>
      <c r="B28" s="33"/>
      <c r="C28" s="33"/>
      <c r="D28" s="48" t="str">
        <f>'[2]2021 Forecast'!D28</f>
        <v>Benevolence Fund &amp; Donations</v>
      </c>
      <c r="E28" s="33"/>
      <c r="F28" s="33"/>
      <c r="G28" s="33"/>
      <c r="H28" s="33"/>
      <c r="I28" s="42">
        <v>0</v>
      </c>
      <c r="J28" s="42">
        <v>0</v>
      </c>
      <c r="K28" s="42">
        <v>50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50</v>
      </c>
      <c r="R28" s="42">
        <v>0</v>
      </c>
      <c r="S28" s="42">
        <v>0</v>
      </c>
      <c r="T28" s="42">
        <v>100</v>
      </c>
      <c r="U28" s="70">
        <f t="shared" si="8"/>
        <v>200</v>
      </c>
      <c r="V28" s="50">
        <f>'[2]2021 Forecast'!M28</f>
        <v>150</v>
      </c>
      <c r="W28" s="82">
        <f>V28-U28</f>
        <v>-50</v>
      </c>
      <c r="Y28" s="243"/>
    </row>
    <row r="29" spans="1:25" ht="15.75" customHeight="1" x14ac:dyDescent="0.3">
      <c r="A29" s="33"/>
      <c r="B29" s="33"/>
      <c r="C29" s="33"/>
      <c r="D29" s="33" t="str">
        <f>'[2]2021 Forecast'!D29</f>
        <v>Food &amp; beverage</v>
      </c>
      <c r="E29" s="33"/>
      <c r="F29" s="33"/>
      <c r="G29" s="33"/>
      <c r="H29" s="33"/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70">
        <f t="shared" si="8"/>
        <v>0</v>
      </c>
      <c r="V29" s="50">
        <f>'[2]2021 Forecast'!M29</f>
        <v>86.59</v>
      </c>
      <c r="W29" s="82">
        <f t="shared" ref="W29:W39" si="9">V29-U29</f>
        <v>86.59</v>
      </c>
      <c r="Y29" s="243"/>
    </row>
    <row r="30" spans="1:25" ht="15.75" customHeight="1" x14ac:dyDescent="0.3">
      <c r="A30" s="33"/>
      <c r="B30" s="33"/>
      <c r="C30" s="33"/>
      <c r="D30" s="45" t="str">
        <f>'[2]2021 Forecast'!D30</f>
        <v>Insurance</v>
      </c>
      <c r="E30" s="33"/>
      <c r="F30" s="33"/>
      <c r="G30" s="33"/>
      <c r="H30" s="33"/>
      <c r="I30" s="42">
        <v>0</v>
      </c>
      <c r="J30" s="42">
        <v>0</v>
      </c>
      <c r="K30" s="42">
        <v>0</v>
      </c>
      <c r="L30" s="42">
        <v>5700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70">
        <f t="shared" si="8"/>
        <v>5700</v>
      </c>
      <c r="V30" s="50">
        <f>'[2]2021 Forecast'!M30</f>
        <v>5584</v>
      </c>
      <c r="W30" s="82">
        <f t="shared" si="9"/>
        <v>-116</v>
      </c>
      <c r="Y30" s="243"/>
    </row>
    <row r="31" spans="1:25" ht="15.75" customHeight="1" x14ac:dyDescent="0.3">
      <c r="A31" s="33"/>
      <c r="B31" s="33"/>
      <c r="C31" s="33"/>
      <c r="D31" s="33" t="str">
        <f>'[2]2021 Forecast'!D31</f>
        <v>Interest Expense - Loan</v>
      </c>
      <c r="E31" s="33"/>
      <c r="F31" s="33"/>
      <c r="G31" s="33"/>
      <c r="H31" s="33"/>
      <c r="I31" s="50">
        <f>I129</f>
        <v>77.030007890562374</v>
      </c>
      <c r="J31" s="50">
        <f t="shared" ref="J31:T31" si="10">J129</f>
        <v>65.663491037380112</v>
      </c>
      <c r="K31" s="50">
        <f t="shared" si="10"/>
        <v>68.304800473913488</v>
      </c>
      <c r="L31" s="50">
        <f t="shared" si="10"/>
        <v>61.863249101717777</v>
      </c>
      <c r="M31" s="50">
        <f t="shared" si="10"/>
        <v>59.510255748350012</v>
      </c>
      <c r="N31" s="50">
        <f t="shared" si="10"/>
        <v>53.305285734843132</v>
      </c>
      <c r="O31" s="50">
        <f t="shared" si="10"/>
        <v>50.619652495846253</v>
      </c>
      <c r="P31" s="50">
        <f t="shared" si="10"/>
        <v>46.14230950073398</v>
      </c>
      <c r="Q31" s="50">
        <f t="shared" si="10"/>
        <v>40.296949561975758</v>
      </c>
      <c r="R31" s="50">
        <f t="shared" si="10"/>
        <v>37.105694684831121</v>
      </c>
      <c r="S31" s="50">
        <f t="shared" si="10"/>
        <v>31.503428013297935</v>
      </c>
      <c r="T31" s="50">
        <f t="shared" si="10"/>
        <v>27.970377328338621</v>
      </c>
      <c r="U31" s="70">
        <f t="shared" si="8"/>
        <v>619.31550157179049</v>
      </c>
      <c r="V31" s="50">
        <f>'[2]2021 Forecast'!M31</f>
        <v>1249.73</v>
      </c>
      <c r="W31" s="82">
        <f t="shared" si="9"/>
        <v>630.41449842820953</v>
      </c>
      <c r="Y31" s="243"/>
    </row>
    <row r="32" spans="1:25" ht="15.75" customHeight="1" x14ac:dyDescent="0.3">
      <c r="A32" s="33"/>
      <c r="B32" s="33"/>
      <c r="C32" s="33"/>
      <c r="D32" s="45" t="str">
        <f>'[2]2021 Forecast'!D32</f>
        <v>Legal Fees - incl. court filings, liens</v>
      </c>
      <c r="E32" s="33"/>
      <c r="F32" s="33"/>
      <c r="G32" s="33"/>
      <c r="H32" s="33"/>
      <c r="I32" s="42">
        <v>0</v>
      </c>
      <c r="J32" s="42">
        <v>0</v>
      </c>
      <c r="K32" s="42">
        <v>500</v>
      </c>
      <c r="L32" s="42">
        <v>0</v>
      </c>
      <c r="M32" s="42">
        <v>0</v>
      </c>
      <c r="N32" s="42">
        <v>1000</v>
      </c>
      <c r="O32" s="42">
        <v>0</v>
      </c>
      <c r="P32" s="42">
        <v>0</v>
      </c>
      <c r="Q32" s="42">
        <v>0</v>
      </c>
      <c r="R32" s="42">
        <v>500</v>
      </c>
      <c r="S32" s="42">
        <v>0</v>
      </c>
      <c r="T32" s="42">
        <v>0</v>
      </c>
      <c r="U32" s="70">
        <f t="shared" si="8"/>
        <v>2000</v>
      </c>
      <c r="V32" s="50">
        <f>'[2]2021 Forecast'!M32</f>
        <v>1700</v>
      </c>
      <c r="W32" s="82">
        <f t="shared" si="9"/>
        <v>-300</v>
      </c>
      <c r="Y32" s="243"/>
    </row>
    <row r="33" spans="1:25" ht="15.75" customHeight="1" x14ac:dyDescent="0.3">
      <c r="A33" s="33"/>
      <c r="B33" s="33"/>
      <c r="C33" s="33"/>
      <c r="D33" s="45" t="str">
        <f>'[2]2021 Forecast'!D33</f>
        <v>Local Taxes</v>
      </c>
      <c r="E33" s="33"/>
      <c r="F33" s="33"/>
      <c r="G33" s="33"/>
      <c r="H33" s="33"/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70">
        <f t="shared" si="8"/>
        <v>0</v>
      </c>
      <c r="V33" s="50">
        <f>'[2]2021 Forecast'!M33</f>
        <v>14.49</v>
      </c>
      <c r="W33" s="82">
        <f t="shared" si="9"/>
        <v>14.49</v>
      </c>
      <c r="Y33" s="243"/>
    </row>
    <row r="34" spans="1:25" ht="15.75" customHeight="1" x14ac:dyDescent="0.3">
      <c r="A34" s="33"/>
      <c r="B34" s="33"/>
      <c r="C34" s="33"/>
      <c r="D34" s="45" t="str">
        <f>'[2]2021 Forecast'!D34</f>
        <v>Mailing &amp; Printing Service</v>
      </c>
      <c r="E34" s="33"/>
      <c r="F34" s="33"/>
      <c r="G34" s="33"/>
      <c r="H34" s="33"/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70">
        <f t="shared" si="8"/>
        <v>0</v>
      </c>
      <c r="V34" s="50">
        <f>'[2]2021 Forecast'!M34</f>
        <v>12.44</v>
      </c>
      <c r="W34" s="82">
        <f t="shared" si="9"/>
        <v>12.44</v>
      </c>
      <c r="Y34" s="243"/>
    </row>
    <row r="35" spans="1:25" ht="15.75" customHeight="1" x14ac:dyDescent="0.3">
      <c r="A35" s="33"/>
      <c r="B35" s="33"/>
      <c r="C35" s="33"/>
      <c r="D35" s="45" t="str">
        <f>'[2]2021 Forecast'!D35</f>
        <v>Payroll Taxes</v>
      </c>
      <c r="E35" s="33"/>
      <c r="F35" s="33"/>
      <c r="G35" s="33"/>
      <c r="H35" s="33"/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70">
        <f t="shared" si="8"/>
        <v>0</v>
      </c>
      <c r="V35" s="50">
        <f>'[2]2021 Forecast'!M35</f>
        <v>179.61</v>
      </c>
      <c r="W35" s="82">
        <f t="shared" si="9"/>
        <v>179.61</v>
      </c>
      <c r="Y35" s="243"/>
    </row>
    <row r="36" spans="1:25" ht="15.75" customHeight="1" x14ac:dyDescent="0.3">
      <c r="A36" s="33"/>
      <c r="B36" s="33"/>
      <c r="C36" s="33"/>
      <c r="D36" s="45" t="str">
        <f>'[2]2021 Forecast'!D36</f>
        <v>Postage &amp; PO Box</v>
      </c>
      <c r="E36" s="33"/>
      <c r="F36" s="33"/>
      <c r="G36" s="33"/>
      <c r="H36" s="126"/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300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70">
        <f t="shared" si="8"/>
        <v>300</v>
      </c>
      <c r="V36" s="50">
        <f>'[2]2021 Forecast'!M36</f>
        <v>274.10000000000002</v>
      </c>
      <c r="W36" s="82">
        <f t="shared" si="9"/>
        <v>-25.899999999999977</v>
      </c>
      <c r="Y36" s="243"/>
    </row>
    <row r="37" spans="1:25" ht="15.75" customHeight="1" x14ac:dyDescent="0.3">
      <c r="A37" s="33"/>
      <c r="B37" s="33"/>
      <c r="C37" s="33"/>
      <c r="D37" s="45" t="str">
        <f>'[2]2021 Forecast'!D37</f>
        <v>Security - Park Patrol</v>
      </c>
      <c r="E37" s="33"/>
      <c r="F37" s="33"/>
      <c r="G37" s="33"/>
      <c r="H37" s="33"/>
      <c r="I37" s="42">
        <v>500</v>
      </c>
      <c r="J37" s="42">
        <v>500</v>
      </c>
      <c r="K37" s="42">
        <v>700</v>
      </c>
      <c r="L37" s="42">
        <v>700</v>
      </c>
      <c r="M37" s="42">
        <v>900</v>
      </c>
      <c r="N37" s="42">
        <v>900</v>
      </c>
      <c r="O37" s="42">
        <v>900</v>
      </c>
      <c r="P37" s="42">
        <v>900</v>
      </c>
      <c r="Q37" s="42">
        <v>900</v>
      </c>
      <c r="R37" s="42">
        <v>900</v>
      </c>
      <c r="S37" s="42">
        <v>900</v>
      </c>
      <c r="T37" s="42">
        <v>700</v>
      </c>
      <c r="U37" s="70">
        <f t="shared" si="8"/>
        <v>9400</v>
      </c>
      <c r="V37" s="50">
        <f>'[2]2021 Forecast'!M37</f>
        <v>9100</v>
      </c>
      <c r="W37" s="82">
        <f t="shared" si="9"/>
        <v>-300</v>
      </c>
      <c r="Y37" s="243"/>
    </row>
    <row r="38" spans="1:25" ht="15.75" customHeight="1" x14ac:dyDescent="0.3">
      <c r="A38" s="33"/>
      <c r="B38" s="33"/>
      <c r="C38" s="33"/>
      <c r="D38" s="33" t="str">
        <f>'[2]2021 Forecast'!D38</f>
        <v>Social Events - incl. food &amp; beverage</v>
      </c>
      <c r="E38" s="33"/>
      <c r="F38" s="33"/>
      <c r="G38" s="33"/>
      <c r="H38" s="114">
        <f>'[2]2021 Forecast'!H84</f>
        <v>0.1</v>
      </c>
      <c r="I38" s="42">
        <v>0</v>
      </c>
      <c r="J38" s="42">
        <v>0</v>
      </c>
      <c r="K38" s="42">
        <v>100</v>
      </c>
      <c r="L38" s="42">
        <v>0</v>
      </c>
      <c r="M38" s="42">
        <v>0</v>
      </c>
      <c r="N38" s="42">
        <v>0</v>
      </c>
      <c r="O38" s="42">
        <v>150</v>
      </c>
      <c r="P38" s="42">
        <v>0</v>
      </c>
      <c r="Q38" s="42">
        <v>0</v>
      </c>
      <c r="R38" s="42">
        <v>150</v>
      </c>
      <c r="S38" s="42">
        <v>0</v>
      </c>
      <c r="T38" s="42">
        <v>250</v>
      </c>
      <c r="U38" s="70">
        <f t="shared" si="8"/>
        <v>650</v>
      </c>
      <c r="V38" s="50">
        <f>'[2]2021 Forecast'!M38</f>
        <v>613.04999999999995</v>
      </c>
      <c r="W38" s="82">
        <f t="shared" si="9"/>
        <v>-36.950000000000045</v>
      </c>
      <c r="Y38" s="243"/>
    </row>
    <row r="39" spans="1:25" ht="15.75" customHeight="1" x14ac:dyDescent="0.3">
      <c r="A39" s="33"/>
      <c r="B39" s="33"/>
      <c r="C39" s="33"/>
      <c r="D39" s="136" t="str">
        <f>'[2]2021 Forecast'!D39</f>
        <v>Web Site Hosting &amp; Domain Name</v>
      </c>
      <c r="E39" s="33"/>
      <c r="F39" s="33"/>
      <c r="G39" s="33"/>
      <c r="H39" s="33"/>
      <c r="I39" s="206">
        <v>0</v>
      </c>
      <c r="J39" s="206">
        <v>0</v>
      </c>
      <c r="K39" s="206">
        <v>0</v>
      </c>
      <c r="L39" s="206">
        <v>0</v>
      </c>
      <c r="M39" s="206">
        <v>0</v>
      </c>
      <c r="N39" s="206">
        <v>0</v>
      </c>
      <c r="O39" s="206">
        <v>0</v>
      </c>
      <c r="P39" s="206">
        <v>0</v>
      </c>
      <c r="Q39" s="206">
        <v>0</v>
      </c>
      <c r="R39" s="206">
        <v>250</v>
      </c>
      <c r="S39" s="206">
        <v>0</v>
      </c>
      <c r="T39" s="206">
        <v>0</v>
      </c>
      <c r="U39" s="207">
        <f t="shared" si="8"/>
        <v>250</v>
      </c>
      <c r="V39" s="74">
        <f>'[2]2021 Forecast'!M39</f>
        <v>239.42000000000002</v>
      </c>
      <c r="W39" s="208">
        <f t="shared" si="9"/>
        <v>-10.579999999999984</v>
      </c>
      <c r="Y39" s="243"/>
    </row>
    <row r="40" spans="1:25" ht="15.75" customHeight="1" x14ac:dyDescent="0.3">
      <c r="A40" s="33"/>
      <c r="B40" s="33"/>
      <c r="C40" s="127"/>
      <c r="D40" s="45"/>
      <c r="E40" s="33"/>
      <c r="F40" s="33"/>
      <c r="G40" s="33"/>
      <c r="H40" s="3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0"/>
      <c r="V40" s="50"/>
      <c r="W40" s="82"/>
      <c r="Y40" s="243"/>
    </row>
    <row r="41" spans="1:25" ht="15.75" customHeight="1" x14ac:dyDescent="0.3">
      <c r="A41" s="33"/>
      <c r="B41" s="33"/>
      <c r="C41" s="127" t="str">
        <f>'[2]2021 Forecast'!C41</f>
        <v>Total Administrative Expenses</v>
      </c>
      <c r="D41" s="45"/>
      <c r="E41" s="33"/>
      <c r="F41" s="33"/>
      <c r="G41" s="33"/>
      <c r="H41" s="33"/>
      <c r="I41" s="44">
        <f>SUM(I26:I40)</f>
        <v>902.03000789056239</v>
      </c>
      <c r="J41" s="44">
        <f t="shared" ref="J41:W41" si="11">SUM(J26:J40)</f>
        <v>890.66349103738014</v>
      </c>
      <c r="K41" s="44">
        <f t="shared" si="11"/>
        <v>1743.3048004739135</v>
      </c>
      <c r="L41" s="44">
        <f t="shared" si="11"/>
        <v>6786.8632491017179</v>
      </c>
      <c r="M41" s="44">
        <f t="shared" si="11"/>
        <v>1684.5102557483501</v>
      </c>
      <c r="N41" s="44">
        <f t="shared" si="11"/>
        <v>2603.305285734843</v>
      </c>
      <c r="O41" s="44">
        <f t="shared" si="11"/>
        <v>1725.6196524958464</v>
      </c>
      <c r="P41" s="44">
        <f t="shared" si="11"/>
        <v>1271.142309500734</v>
      </c>
      <c r="Q41" s="44">
        <f t="shared" si="11"/>
        <v>1315.2969495619757</v>
      </c>
      <c r="R41" s="44">
        <f t="shared" si="11"/>
        <v>2162.1056946848312</v>
      </c>
      <c r="S41" s="44">
        <f t="shared" si="11"/>
        <v>1256.5034280132979</v>
      </c>
      <c r="T41" s="44">
        <f t="shared" si="11"/>
        <v>1402.9703773283386</v>
      </c>
      <c r="U41" s="72">
        <f t="shared" si="11"/>
        <v>23744.315501571793</v>
      </c>
      <c r="V41" s="44">
        <f t="shared" si="11"/>
        <v>23019.569999999996</v>
      </c>
      <c r="W41" s="84">
        <f t="shared" si="11"/>
        <v>-724.74550157179033</v>
      </c>
      <c r="Y41" s="242">
        <f>V41-U41</f>
        <v>-724.74550157179692</v>
      </c>
    </row>
    <row r="42" spans="1:25" ht="15.75" customHeight="1" x14ac:dyDescent="0.3">
      <c r="A42" s="33"/>
      <c r="B42" s="33"/>
      <c r="C42" s="127"/>
      <c r="D42" s="45"/>
      <c r="E42" s="33"/>
      <c r="F42" s="33"/>
      <c r="G42" s="33"/>
      <c r="H42" s="33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70"/>
      <c r="V42" s="50"/>
      <c r="W42" s="82"/>
      <c r="Y42" s="243"/>
    </row>
    <row r="43" spans="1:25" ht="15.75" customHeight="1" x14ac:dyDescent="0.3">
      <c r="A43" s="33"/>
      <c r="B43" s="33"/>
      <c r="C43" s="47" t="str">
        <f>'[2]2021 Forecast'!C43</f>
        <v>Maintenance &amp; Repairs</v>
      </c>
      <c r="D43" s="45"/>
      <c r="E43" s="33"/>
      <c r="F43" s="33"/>
      <c r="G43" s="33"/>
      <c r="H43" s="33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70"/>
      <c r="V43" s="50"/>
      <c r="W43" s="82"/>
      <c r="X43" s="33"/>
      <c r="Y43" s="243"/>
    </row>
    <row r="44" spans="1:25" ht="15.75" customHeight="1" x14ac:dyDescent="0.3">
      <c r="A44" s="33"/>
      <c r="B44" s="33"/>
      <c r="C44" s="127"/>
      <c r="D44" s="45" t="str">
        <f>'[2]2021 Forecast'!D44</f>
        <v>Electrical</v>
      </c>
      <c r="E44" s="33"/>
      <c r="F44" s="33"/>
      <c r="G44" s="33"/>
      <c r="H44" s="33"/>
      <c r="I44" s="42">
        <v>0</v>
      </c>
      <c r="J44" s="42">
        <v>0</v>
      </c>
      <c r="K44" s="42">
        <v>750</v>
      </c>
      <c r="L44" s="42">
        <v>500</v>
      </c>
      <c r="M44" s="42">
        <v>0</v>
      </c>
      <c r="N44" s="42">
        <v>1000</v>
      </c>
      <c r="O44" s="42">
        <v>0</v>
      </c>
      <c r="P44" s="42">
        <v>0</v>
      </c>
      <c r="Q44" s="42">
        <v>0</v>
      </c>
      <c r="R44" s="42">
        <v>750</v>
      </c>
      <c r="S44" s="42">
        <v>350</v>
      </c>
      <c r="T44" s="42">
        <v>0</v>
      </c>
      <c r="U44" s="70">
        <f t="shared" ref="U44:U48" si="12">SUM(I44:T44)</f>
        <v>3350</v>
      </c>
      <c r="V44" s="50">
        <f>'[2]2021 Forecast'!M44</f>
        <v>4856.75</v>
      </c>
      <c r="W44" s="82">
        <f t="shared" ref="W44:W48" si="13">V44-U44</f>
        <v>1506.75</v>
      </c>
      <c r="Y44" s="243"/>
    </row>
    <row r="45" spans="1:25" ht="15.75" customHeight="1" x14ac:dyDescent="0.3">
      <c r="A45" s="33"/>
      <c r="B45" s="33"/>
      <c r="C45" s="127"/>
      <c r="D45" s="45" t="str">
        <f>'[2]2021 Forecast'!D45</f>
        <v>Fences &amp; Gates</v>
      </c>
      <c r="E45" s="33"/>
      <c r="F45" s="33"/>
      <c r="G45" s="33"/>
      <c r="H45" s="170"/>
      <c r="I45" s="42">
        <v>0</v>
      </c>
      <c r="J45" s="42">
        <v>750</v>
      </c>
      <c r="K45" s="42">
        <v>0</v>
      </c>
      <c r="L45" s="42">
        <v>0</v>
      </c>
      <c r="M45" s="42">
        <v>1500</v>
      </c>
      <c r="N45" s="42">
        <v>0</v>
      </c>
      <c r="O45" s="42">
        <v>750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70">
        <f t="shared" si="12"/>
        <v>3000</v>
      </c>
      <c r="V45" s="50">
        <f>'[2]2021 Forecast'!M45</f>
        <v>1750</v>
      </c>
      <c r="W45" s="82">
        <f t="shared" si="13"/>
        <v>-1250</v>
      </c>
      <c r="Y45" s="243"/>
    </row>
    <row r="46" spans="1:25" ht="15.75" customHeight="1" x14ac:dyDescent="0.3">
      <c r="A46" s="33"/>
      <c r="B46" s="33"/>
      <c r="C46" s="127"/>
      <c r="D46" s="45" t="str">
        <f>'[2]2021 Forecast'!D46</f>
        <v>Plumbing</v>
      </c>
      <c r="E46" s="33"/>
      <c r="F46" s="33"/>
      <c r="G46" s="33"/>
      <c r="H46" s="170"/>
      <c r="I46" s="42">
        <v>0</v>
      </c>
      <c r="J46" s="42">
        <v>0</v>
      </c>
      <c r="K46" s="42">
        <v>0</v>
      </c>
      <c r="L46" s="42">
        <v>0</v>
      </c>
      <c r="M46" s="42">
        <v>500</v>
      </c>
      <c r="N46" s="42">
        <v>0</v>
      </c>
      <c r="O46" s="42">
        <v>500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70">
        <f t="shared" si="12"/>
        <v>1000</v>
      </c>
      <c r="V46" s="50">
        <f>'[2]2021 Forecast'!M46</f>
        <v>1041.1300000000001</v>
      </c>
      <c r="W46" s="82">
        <f t="shared" si="13"/>
        <v>41.130000000000109</v>
      </c>
      <c r="Y46" s="243"/>
    </row>
    <row r="47" spans="1:25" ht="15.75" customHeight="1" x14ac:dyDescent="0.3">
      <c r="A47" s="33"/>
      <c r="B47" s="33"/>
      <c r="C47" s="127"/>
      <c r="D47" s="45" t="str">
        <f>'[2]2021 Forecast'!D47</f>
        <v>Sidewalks &amp; Common Park</v>
      </c>
      <c r="E47" s="33"/>
      <c r="F47" s="33"/>
      <c r="G47" s="33"/>
      <c r="H47" s="33"/>
      <c r="I47" s="42">
        <v>0</v>
      </c>
      <c r="J47" s="42">
        <v>0</v>
      </c>
      <c r="K47" s="42">
        <v>0</v>
      </c>
      <c r="L47" s="42">
        <v>1000</v>
      </c>
      <c r="M47" s="42">
        <v>0</v>
      </c>
      <c r="N47" s="42">
        <v>500</v>
      </c>
      <c r="O47" s="42">
        <v>0</v>
      </c>
      <c r="P47" s="42">
        <v>500</v>
      </c>
      <c r="Q47" s="42">
        <v>0</v>
      </c>
      <c r="R47" s="42">
        <v>0</v>
      </c>
      <c r="S47" s="42">
        <v>350</v>
      </c>
      <c r="T47" s="42">
        <v>0</v>
      </c>
      <c r="U47" s="70">
        <f t="shared" si="12"/>
        <v>2350</v>
      </c>
      <c r="V47" s="50">
        <f>'[2]2021 Forecast'!M47</f>
        <v>2250</v>
      </c>
      <c r="W47" s="82">
        <f t="shared" si="13"/>
        <v>-100</v>
      </c>
      <c r="Y47" s="243"/>
    </row>
    <row r="48" spans="1:25" ht="15.75" customHeight="1" x14ac:dyDescent="0.3">
      <c r="A48" s="33"/>
      <c r="B48" s="33"/>
      <c r="C48" s="127"/>
      <c r="D48" s="45" t="str">
        <f>'[2]2021 Forecast'!D48</f>
        <v>Signs</v>
      </c>
      <c r="E48" s="33"/>
      <c r="F48" s="33"/>
      <c r="G48" s="33"/>
      <c r="H48" s="33"/>
      <c r="I48" s="42">
        <v>0</v>
      </c>
      <c r="J48" s="42">
        <v>0</v>
      </c>
      <c r="K48" s="42">
        <v>150</v>
      </c>
      <c r="L48" s="42">
        <v>0</v>
      </c>
      <c r="M48" s="42">
        <v>0</v>
      </c>
      <c r="N48" s="42">
        <v>300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207">
        <f t="shared" si="12"/>
        <v>450</v>
      </c>
      <c r="V48" s="74">
        <f>'[2]2021 Forecast'!M48</f>
        <v>437.33</v>
      </c>
      <c r="W48" s="208">
        <f t="shared" si="13"/>
        <v>-12.670000000000016</v>
      </c>
      <c r="Y48" s="243"/>
    </row>
    <row r="49" spans="1:27" ht="15.75" customHeight="1" x14ac:dyDescent="0.3">
      <c r="A49" s="33"/>
      <c r="B49" s="33"/>
      <c r="C49" s="127"/>
      <c r="D49" s="45"/>
      <c r="E49" s="33"/>
      <c r="F49" s="33"/>
      <c r="G49" s="33"/>
      <c r="H49" s="33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46"/>
      <c r="U49" s="70"/>
      <c r="V49" s="50"/>
      <c r="W49" s="82"/>
      <c r="Y49" s="243"/>
    </row>
    <row r="50" spans="1:27" ht="15.75" customHeight="1" x14ac:dyDescent="0.3">
      <c r="A50" s="33"/>
      <c r="B50" s="33"/>
      <c r="C50" s="127" t="str">
        <f>'[2]2021 Forecast'!C50</f>
        <v>Total Maintenance &amp; repairs</v>
      </c>
      <c r="D50" s="45"/>
      <c r="E50" s="33"/>
      <c r="F50" s="33"/>
      <c r="G50" s="33"/>
      <c r="H50" s="33"/>
      <c r="I50" s="44">
        <f>SUM(I44:I49)</f>
        <v>0</v>
      </c>
      <c r="J50" s="44">
        <f t="shared" ref="J50:W50" si="14">SUM(J44:J49)</f>
        <v>750</v>
      </c>
      <c r="K50" s="44">
        <f t="shared" si="14"/>
        <v>900</v>
      </c>
      <c r="L50" s="44">
        <f t="shared" si="14"/>
        <v>1500</v>
      </c>
      <c r="M50" s="44">
        <f t="shared" si="14"/>
        <v>2000</v>
      </c>
      <c r="N50" s="44">
        <f t="shared" si="14"/>
        <v>1800</v>
      </c>
      <c r="O50" s="44">
        <f t="shared" si="14"/>
        <v>1250</v>
      </c>
      <c r="P50" s="44">
        <f t="shared" si="14"/>
        <v>500</v>
      </c>
      <c r="Q50" s="44">
        <f t="shared" si="14"/>
        <v>0</v>
      </c>
      <c r="R50" s="44">
        <f t="shared" si="14"/>
        <v>750</v>
      </c>
      <c r="S50" s="44">
        <f t="shared" si="14"/>
        <v>700</v>
      </c>
      <c r="T50" s="250">
        <f t="shared" si="14"/>
        <v>0</v>
      </c>
      <c r="U50" s="72">
        <f t="shared" si="14"/>
        <v>10150</v>
      </c>
      <c r="V50" s="44">
        <f t="shared" si="14"/>
        <v>10335.210000000001</v>
      </c>
      <c r="W50" s="84">
        <f t="shared" si="14"/>
        <v>185.21000000000009</v>
      </c>
      <c r="Y50" s="242">
        <f>V50-U50</f>
        <v>185.21000000000095</v>
      </c>
    </row>
    <row r="51" spans="1:27" ht="15.75" customHeight="1" x14ac:dyDescent="0.3">
      <c r="A51" s="33"/>
      <c r="B51" s="33"/>
      <c r="C51" s="127"/>
      <c r="D51" s="45"/>
      <c r="E51" s="33"/>
      <c r="F51" s="33"/>
      <c r="G51" s="33"/>
      <c r="H51" s="33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70"/>
      <c r="V51" s="50"/>
      <c r="W51" s="82"/>
      <c r="Y51" s="243"/>
    </row>
    <row r="52" spans="1:27" ht="15.75" customHeight="1" x14ac:dyDescent="0.3">
      <c r="A52" s="33"/>
      <c r="B52" s="33"/>
      <c r="C52" s="47" t="str">
        <f>'[2]2021 Forecast'!C52</f>
        <v>Parks &amp; Grounds</v>
      </c>
      <c r="D52" s="45"/>
      <c r="E52" s="33"/>
      <c r="F52" s="33"/>
      <c r="G52" s="33"/>
      <c r="H52" s="33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70"/>
      <c r="V52" s="50"/>
      <c r="W52" s="82"/>
      <c r="Y52" s="243"/>
    </row>
    <row r="53" spans="1:27" ht="15.75" customHeight="1" x14ac:dyDescent="0.3">
      <c r="A53" s="33"/>
      <c r="B53" s="33"/>
      <c r="C53" s="45"/>
      <c r="D53" s="45" t="str">
        <f>'[2]2021 Forecast'!D53</f>
        <v>Keys &amp; Locksmith</v>
      </c>
      <c r="E53" s="33"/>
      <c r="F53" s="33"/>
      <c r="G53" s="33"/>
      <c r="H53" s="33"/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250</v>
      </c>
      <c r="O53" s="42">
        <v>100</v>
      </c>
      <c r="P53" s="42">
        <v>0</v>
      </c>
      <c r="Q53" s="42">
        <v>0</v>
      </c>
      <c r="R53" s="42">
        <v>0</v>
      </c>
      <c r="S53" s="42">
        <v>0</v>
      </c>
      <c r="T53" s="42">
        <v>0</v>
      </c>
      <c r="U53" s="70">
        <f t="shared" ref="U53:U59" si="15">SUM(I53:T53)</f>
        <v>350</v>
      </c>
      <c r="V53" s="50">
        <f>'[2]2021 Forecast'!M53</f>
        <v>129.9</v>
      </c>
      <c r="W53" s="82">
        <f t="shared" ref="W53:W59" si="16">V53-U53</f>
        <v>-220.1</v>
      </c>
      <c r="Y53" s="243"/>
    </row>
    <row r="54" spans="1:27" ht="15.75" customHeight="1" x14ac:dyDescent="0.3">
      <c r="A54" s="33"/>
      <c r="B54" s="33"/>
      <c r="C54" s="45"/>
      <c r="D54" s="48" t="str">
        <f>'[2]2021 Forecast'!D54</f>
        <v>Landscaping (walkways &amp; shrubs)</v>
      </c>
      <c r="E54" s="33"/>
      <c r="F54" s="33"/>
      <c r="G54" s="33"/>
      <c r="H54" s="33"/>
      <c r="I54" s="42">
        <v>300</v>
      </c>
      <c r="J54" s="42">
        <v>0</v>
      </c>
      <c r="K54" s="42">
        <v>500</v>
      </c>
      <c r="L54" s="42">
        <v>0</v>
      </c>
      <c r="M54" s="42">
        <v>300</v>
      </c>
      <c r="N54" s="42">
        <v>0</v>
      </c>
      <c r="O54" s="42">
        <v>0</v>
      </c>
      <c r="P54" s="42">
        <v>500</v>
      </c>
      <c r="Q54" s="42">
        <v>0</v>
      </c>
      <c r="R54" s="42">
        <v>300</v>
      </c>
      <c r="S54" s="42">
        <v>300</v>
      </c>
      <c r="T54" s="42">
        <v>0</v>
      </c>
      <c r="U54" s="70">
        <f t="shared" si="15"/>
        <v>2200</v>
      </c>
      <c r="V54" s="50">
        <f>'[2]2021 Forecast'!M54</f>
        <v>2487.9700000000003</v>
      </c>
      <c r="W54" s="82">
        <f t="shared" si="16"/>
        <v>287.97000000000025</v>
      </c>
      <c r="Y54" s="243"/>
    </row>
    <row r="55" spans="1:27" ht="15.75" customHeight="1" x14ac:dyDescent="0.3">
      <c r="A55" s="33"/>
      <c r="B55" s="33"/>
      <c r="C55" s="45"/>
      <c r="D55" s="45" t="str">
        <f>'[2]2021 Forecast'!D55</f>
        <v>Lawn Mowing Service</v>
      </c>
      <c r="E55" s="33"/>
      <c r="F55" s="33"/>
      <c r="G55" s="33"/>
      <c r="H55" s="33"/>
      <c r="I55" s="42">
        <v>0</v>
      </c>
      <c r="J55" s="42">
        <v>750</v>
      </c>
      <c r="K55" s="42">
        <v>1500</v>
      </c>
      <c r="L55" s="42">
        <v>1500</v>
      </c>
      <c r="M55" s="42">
        <v>2250</v>
      </c>
      <c r="N55" s="42">
        <v>2250</v>
      </c>
      <c r="O55" s="42">
        <v>2250</v>
      </c>
      <c r="P55" s="42">
        <v>2250</v>
      </c>
      <c r="Q55" s="42">
        <v>1500</v>
      </c>
      <c r="R55" s="42">
        <v>1500</v>
      </c>
      <c r="S55" s="42">
        <v>750</v>
      </c>
      <c r="T55" s="42">
        <v>750</v>
      </c>
      <c r="U55" s="70">
        <f t="shared" si="15"/>
        <v>17250</v>
      </c>
      <c r="V55" s="50">
        <f>'[2]2021 Forecast'!M55</f>
        <v>16205</v>
      </c>
      <c r="W55" s="82">
        <f t="shared" si="16"/>
        <v>-1045</v>
      </c>
      <c r="Y55" s="243"/>
    </row>
    <row r="56" spans="1:27" ht="15.75" customHeight="1" x14ac:dyDescent="0.3">
      <c r="A56" s="33"/>
      <c r="B56" s="33"/>
      <c r="C56" s="45"/>
      <c r="D56" s="33" t="str">
        <f>'[2]2021 Forecast'!D56</f>
        <v>Misc. Arapaho Median</v>
      </c>
      <c r="E56" s="33"/>
      <c r="F56" s="33"/>
      <c r="G56" s="33"/>
      <c r="H56" s="33"/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200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70">
        <f t="shared" si="15"/>
        <v>200</v>
      </c>
      <c r="V56" s="50">
        <f>'[2]2021 Forecast'!M56</f>
        <v>37.79</v>
      </c>
      <c r="W56" s="82">
        <f t="shared" si="16"/>
        <v>-162.21</v>
      </c>
      <c r="Y56" s="243"/>
    </row>
    <row r="57" spans="1:27" ht="15.75" customHeight="1" x14ac:dyDescent="0.3">
      <c r="A57" s="33"/>
      <c r="B57" s="33"/>
      <c r="C57" s="45"/>
      <c r="D57" s="45" t="str">
        <f>'[2]2021 Forecast'!D57</f>
        <v>Misc. P&amp;G</v>
      </c>
      <c r="E57" s="33"/>
      <c r="F57" s="33"/>
      <c r="G57" s="33"/>
      <c r="H57" s="33"/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250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70">
        <f t="shared" si="15"/>
        <v>250</v>
      </c>
      <c r="V57" s="50">
        <f>'[2]2021 Forecast'!M57</f>
        <v>647.95000000000005</v>
      </c>
      <c r="W57" s="82">
        <f t="shared" si="16"/>
        <v>397.95000000000005</v>
      </c>
      <c r="X57" s="33"/>
      <c r="Y57" s="243"/>
      <c r="Z57" s="33"/>
      <c r="AA57" s="33"/>
    </row>
    <row r="58" spans="1:27" ht="15.75" customHeight="1" x14ac:dyDescent="0.3">
      <c r="A58" s="33"/>
      <c r="B58" s="33"/>
      <c r="C58" s="45"/>
      <c r="D58" s="45" t="str">
        <f>'[2]2021 Forecast'!D58</f>
        <v>Tree Trimming</v>
      </c>
      <c r="E58" s="33"/>
      <c r="F58" s="33"/>
      <c r="G58" s="33"/>
      <c r="H58" s="33"/>
      <c r="I58" s="42">
        <v>1500</v>
      </c>
      <c r="J58" s="42">
        <v>0</v>
      </c>
      <c r="K58" s="42">
        <v>0</v>
      </c>
      <c r="L58" s="42">
        <v>1500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2500</v>
      </c>
      <c r="S58" s="42">
        <v>1500</v>
      </c>
      <c r="T58" s="42">
        <v>0</v>
      </c>
      <c r="U58" s="70">
        <f t="shared" si="15"/>
        <v>7000</v>
      </c>
      <c r="V58" s="50">
        <f>'[2]2021 Forecast'!M58</f>
        <v>11001.939999999999</v>
      </c>
      <c r="W58" s="82">
        <f t="shared" si="16"/>
        <v>4001.9399999999987</v>
      </c>
      <c r="Y58" s="243"/>
    </row>
    <row r="59" spans="1:27" ht="15.75" customHeight="1" x14ac:dyDescent="0.3">
      <c r="A59" s="33"/>
      <c r="B59" s="33"/>
      <c r="C59" s="45"/>
      <c r="D59" s="33" t="str">
        <f>'[2]2021 Forecast'!D59</f>
        <v>Sprinkler Repair</v>
      </c>
      <c r="E59" s="33"/>
      <c r="F59" s="33"/>
      <c r="G59" s="33"/>
      <c r="H59" s="33"/>
      <c r="I59" s="206">
        <v>0</v>
      </c>
      <c r="J59" s="206">
        <v>0</v>
      </c>
      <c r="K59" s="206">
        <v>0</v>
      </c>
      <c r="L59" s="206">
        <v>500</v>
      </c>
      <c r="M59" s="206">
        <v>0</v>
      </c>
      <c r="N59" s="206">
        <v>750</v>
      </c>
      <c r="O59" s="206">
        <v>0</v>
      </c>
      <c r="P59" s="206">
        <v>0</v>
      </c>
      <c r="Q59" s="206">
        <v>500</v>
      </c>
      <c r="R59" s="206">
        <v>0</v>
      </c>
      <c r="S59" s="206">
        <v>0</v>
      </c>
      <c r="T59" s="206">
        <v>0</v>
      </c>
      <c r="U59" s="207">
        <f t="shared" si="15"/>
        <v>1750</v>
      </c>
      <c r="V59" s="74">
        <f>'[2]2021 Forecast'!M59</f>
        <v>500</v>
      </c>
      <c r="W59" s="208">
        <f t="shared" si="16"/>
        <v>-1250</v>
      </c>
      <c r="Y59" s="243"/>
    </row>
    <row r="60" spans="1:27" ht="15.75" customHeight="1" x14ac:dyDescent="0.3">
      <c r="A60" s="33"/>
      <c r="B60" s="33"/>
      <c r="C60" s="45"/>
      <c r="D60" s="45"/>
      <c r="E60" s="33"/>
      <c r="F60" s="33"/>
      <c r="G60" s="33"/>
      <c r="H60" s="33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70"/>
      <c r="V60" s="50"/>
      <c r="W60" s="82"/>
      <c r="Y60" s="243"/>
    </row>
    <row r="61" spans="1:27" ht="15.75" customHeight="1" x14ac:dyDescent="0.3">
      <c r="A61" s="33"/>
      <c r="B61" s="33"/>
      <c r="C61" s="47" t="str">
        <f>'[2]2021 Forecast'!C61</f>
        <v>Total Parks &amp; Grounds</v>
      </c>
      <c r="D61" s="45"/>
      <c r="E61" s="33"/>
      <c r="F61" s="33"/>
      <c r="G61" s="33"/>
      <c r="H61" s="33"/>
      <c r="I61" s="44">
        <f>SUM(I53:I60)</f>
        <v>1800</v>
      </c>
      <c r="J61" s="44">
        <f t="shared" ref="J61:W61" si="17">SUM(J53:J60)</f>
        <v>750</v>
      </c>
      <c r="K61" s="44">
        <f t="shared" si="17"/>
        <v>2000</v>
      </c>
      <c r="L61" s="44">
        <f t="shared" si="17"/>
        <v>3500</v>
      </c>
      <c r="M61" s="44">
        <f t="shared" si="17"/>
        <v>2550</v>
      </c>
      <c r="N61" s="44">
        <f t="shared" si="17"/>
        <v>3700</v>
      </c>
      <c r="O61" s="44">
        <f t="shared" si="17"/>
        <v>2350</v>
      </c>
      <c r="P61" s="44">
        <f t="shared" si="17"/>
        <v>2750</v>
      </c>
      <c r="Q61" s="44">
        <f t="shared" si="17"/>
        <v>2000</v>
      </c>
      <c r="R61" s="44">
        <f t="shared" si="17"/>
        <v>4300</v>
      </c>
      <c r="S61" s="44">
        <f t="shared" si="17"/>
        <v>2550</v>
      </c>
      <c r="T61" s="44">
        <f t="shared" si="17"/>
        <v>750</v>
      </c>
      <c r="U61" s="72">
        <f t="shared" si="17"/>
        <v>29000</v>
      </c>
      <c r="V61" s="44">
        <f t="shared" si="17"/>
        <v>31010.55</v>
      </c>
      <c r="W61" s="84">
        <f t="shared" si="17"/>
        <v>2010.5499999999993</v>
      </c>
      <c r="Y61" s="242">
        <f>V61-U61</f>
        <v>2010.5499999999993</v>
      </c>
    </row>
    <row r="62" spans="1:27" ht="15.75" customHeight="1" x14ac:dyDescent="0.3">
      <c r="A62" s="33"/>
      <c r="B62" s="33"/>
      <c r="C62" s="127"/>
      <c r="D62" s="45"/>
      <c r="E62" s="33"/>
      <c r="F62" s="33"/>
      <c r="G62" s="33"/>
      <c r="H62" s="3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0"/>
      <c r="V62" s="50"/>
      <c r="W62" s="82"/>
      <c r="Y62" s="243"/>
    </row>
    <row r="63" spans="1:27" ht="15.75" customHeight="1" x14ac:dyDescent="0.3">
      <c r="A63" s="33"/>
      <c r="B63" s="33"/>
      <c r="C63" s="47" t="str">
        <f>'[2]2021 Forecast'!C63</f>
        <v>Pool Expense</v>
      </c>
      <c r="D63" s="45"/>
      <c r="E63" s="33"/>
      <c r="F63" s="33"/>
      <c r="G63" s="33"/>
      <c r="H63" s="33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70"/>
      <c r="V63" s="50"/>
      <c r="W63" s="82"/>
      <c r="Y63" s="243"/>
    </row>
    <row r="64" spans="1:27" ht="15.75" customHeight="1" x14ac:dyDescent="0.3">
      <c r="A64" s="33"/>
      <c r="B64" s="33"/>
      <c r="C64" s="33"/>
      <c r="D64" s="45" t="str">
        <f>'[2]2021 Forecast'!D64</f>
        <v>Chemicals</v>
      </c>
      <c r="E64" s="33"/>
      <c r="F64" s="33"/>
      <c r="G64" s="33"/>
      <c r="H64" s="33"/>
      <c r="I64" s="42">
        <v>0</v>
      </c>
      <c r="J64" s="42">
        <v>0</v>
      </c>
      <c r="K64" s="42">
        <v>0</v>
      </c>
      <c r="L64" s="42">
        <v>150</v>
      </c>
      <c r="M64" s="42">
        <v>500</v>
      </c>
      <c r="N64" s="42">
        <v>500</v>
      </c>
      <c r="O64" s="42">
        <v>250</v>
      </c>
      <c r="P64" s="42">
        <v>150</v>
      </c>
      <c r="Q64" s="42">
        <v>0</v>
      </c>
      <c r="R64" s="42">
        <v>0</v>
      </c>
      <c r="S64" s="42">
        <v>150</v>
      </c>
      <c r="T64" s="42">
        <v>0</v>
      </c>
      <c r="U64" s="70">
        <f t="shared" ref="U64:U65" si="18">SUM(I64:T64)</f>
        <v>1700</v>
      </c>
      <c r="V64" s="50">
        <f>'[2]2021 Forecast'!M64</f>
        <v>1382.8700000000001</v>
      </c>
      <c r="W64" s="82">
        <f t="shared" ref="W64:W70" si="19">V64-U64</f>
        <v>-317.12999999999988</v>
      </c>
      <c r="Y64" s="243"/>
    </row>
    <row r="65" spans="1:26" ht="15.75" customHeight="1" x14ac:dyDescent="0.3">
      <c r="A65" s="33"/>
      <c r="B65" s="33"/>
      <c r="C65" s="33"/>
      <c r="D65" s="48" t="str">
        <f>'[2]2021 Forecast'!D65</f>
        <v>Deck &amp; Pool Repair</v>
      </c>
      <c r="E65" s="33"/>
      <c r="F65" s="33"/>
      <c r="G65" s="33"/>
      <c r="H65" s="33"/>
      <c r="I65" s="42">
        <v>0</v>
      </c>
      <c r="J65" s="42">
        <v>0</v>
      </c>
      <c r="K65" s="42">
        <v>500</v>
      </c>
      <c r="L65" s="42">
        <v>500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70">
        <f t="shared" si="18"/>
        <v>1000</v>
      </c>
      <c r="V65" s="50">
        <f>'[2]2021 Forecast'!M65</f>
        <v>530.91999999999996</v>
      </c>
      <c r="W65" s="82">
        <f t="shared" si="19"/>
        <v>-469.08000000000004</v>
      </c>
      <c r="X65" s="33"/>
      <c r="Y65" s="243"/>
      <c r="Z65" s="33"/>
    </row>
    <row r="66" spans="1:26" ht="15.75" customHeight="1" x14ac:dyDescent="0.3">
      <c r="A66" s="33"/>
      <c r="B66" s="33"/>
      <c r="C66" s="33"/>
      <c r="D66" s="26"/>
      <c r="E66" s="47" t="str">
        <f>'[2]2021 Forecast'!E66</f>
        <v>Payroll Expenses</v>
      </c>
      <c r="F66" s="33"/>
      <c r="G66" s="33"/>
      <c r="H66" s="33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70"/>
      <c r="V66" s="50"/>
      <c r="W66" s="82">
        <f t="shared" si="19"/>
        <v>0</v>
      </c>
      <c r="Y66" s="243"/>
    </row>
    <row r="67" spans="1:26" ht="15.75" customHeight="1" x14ac:dyDescent="0.3">
      <c r="A67" s="33"/>
      <c r="B67" s="33"/>
      <c r="C67" s="33"/>
      <c r="D67" s="48"/>
      <c r="E67" s="26"/>
      <c r="F67" s="45" t="str">
        <f>'[2]2021 Forecast'!F67</f>
        <v>Contract - Attendant</v>
      </c>
      <c r="G67" s="33"/>
      <c r="H67" s="46"/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70">
        <f t="shared" ref="U67:U70" si="20">SUM(I67:T67)</f>
        <v>0</v>
      </c>
      <c r="V67" s="50">
        <f>'[2]2021 Forecast'!M67</f>
        <v>281.67</v>
      </c>
      <c r="W67" s="82">
        <f t="shared" si="19"/>
        <v>281.67</v>
      </c>
      <c r="Y67" s="243"/>
    </row>
    <row r="68" spans="1:26" ht="15.75" customHeight="1" x14ac:dyDescent="0.3">
      <c r="A68" s="33"/>
      <c r="B68" s="33"/>
      <c r="C68" s="33"/>
      <c r="D68" s="48"/>
      <c r="E68" s="26"/>
      <c r="F68" s="45" t="str">
        <f>'[2]2021 Forecast'!F68</f>
        <v>Processing Service</v>
      </c>
      <c r="G68" s="33"/>
      <c r="H68" s="33"/>
      <c r="I68" s="42">
        <v>0</v>
      </c>
      <c r="J68" s="42">
        <v>0</v>
      </c>
      <c r="K68" s="42">
        <v>0</v>
      </c>
      <c r="L68" s="42">
        <v>0</v>
      </c>
      <c r="M68" s="42">
        <v>65</v>
      </c>
      <c r="N68" s="42">
        <v>65</v>
      </c>
      <c r="O68" s="42">
        <v>65</v>
      </c>
      <c r="P68" s="42">
        <v>65</v>
      </c>
      <c r="Q68" s="42">
        <v>65</v>
      </c>
      <c r="R68" s="42">
        <v>0</v>
      </c>
      <c r="S68" s="42">
        <v>0</v>
      </c>
      <c r="T68" s="42">
        <v>0</v>
      </c>
      <c r="U68" s="70">
        <f t="shared" si="20"/>
        <v>325</v>
      </c>
      <c r="V68" s="50">
        <f>'[2]2021 Forecast'!M68</f>
        <v>364.63</v>
      </c>
      <c r="W68" s="82">
        <f t="shared" si="19"/>
        <v>39.629999999999995</v>
      </c>
      <c r="Y68" s="243"/>
    </row>
    <row r="69" spans="1:26" ht="15.75" customHeight="1" x14ac:dyDescent="0.3">
      <c r="A69" s="33"/>
      <c r="B69" s="33"/>
      <c r="C69" s="33"/>
      <c r="D69" s="48"/>
      <c r="E69" s="26"/>
      <c r="F69" s="45" t="str">
        <f>'[2]2021 Forecast'!F69</f>
        <v>Taxes</v>
      </c>
      <c r="G69" s="33"/>
      <c r="H69" s="248">
        <v>0.12</v>
      </c>
      <c r="I69" s="50">
        <f>$H$69*I70</f>
        <v>12</v>
      </c>
      <c r="J69" s="50">
        <f t="shared" ref="J69:T69" si="21">$H$69*J70</f>
        <v>12</v>
      </c>
      <c r="K69" s="50">
        <f t="shared" si="21"/>
        <v>12</v>
      </c>
      <c r="L69" s="50">
        <f t="shared" si="21"/>
        <v>12</v>
      </c>
      <c r="M69" s="50">
        <f t="shared" si="21"/>
        <v>84</v>
      </c>
      <c r="N69" s="50">
        <f t="shared" si="21"/>
        <v>180</v>
      </c>
      <c r="O69" s="50">
        <f t="shared" si="21"/>
        <v>240</v>
      </c>
      <c r="P69" s="50">
        <f t="shared" si="21"/>
        <v>180</v>
      </c>
      <c r="Q69" s="50">
        <f t="shared" si="21"/>
        <v>84</v>
      </c>
      <c r="R69" s="50">
        <f t="shared" si="21"/>
        <v>12</v>
      </c>
      <c r="S69" s="50">
        <f t="shared" si="21"/>
        <v>12</v>
      </c>
      <c r="T69" s="50">
        <f t="shared" si="21"/>
        <v>12</v>
      </c>
      <c r="U69" s="70">
        <f t="shared" si="20"/>
        <v>852</v>
      </c>
      <c r="V69" s="50">
        <f>'[2]2021 Forecast'!M69</f>
        <v>914.28</v>
      </c>
      <c r="W69" s="82">
        <f t="shared" si="19"/>
        <v>62.279999999999973</v>
      </c>
      <c r="Y69" s="243"/>
    </row>
    <row r="70" spans="1:26" ht="15.75" customHeight="1" x14ac:dyDescent="0.3">
      <c r="A70" s="33"/>
      <c r="B70" s="33"/>
      <c r="C70" s="33"/>
      <c r="D70" s="48"/>
      <c r="E70" s="26"/>
      <c r="F70" s="45" t="str">
        <f>'[2]2021 Forecast'!F70</f>
        <v>Wages for Attendant</v>
      </c>
      <c r="G70" s="33"/>
      <c r="H70" s="33"/>
      <c r="I70" s="206">
        <v>100</v>
      </c>
      <c r="J70" s="206">
        <v>100</v>
      </c>
      <c r="K70" s="206">
        <v>100</v>
      </c>
      <c r="L70" s="206">
        <v>100</v>
      </c>
      <c r="M70" s="206">
        <v>700</v>
      </c>
      <c r="N70" s="206">
        <v>1500</v>
      </c>
      <c r="O70" s="206">
        <v>2000</v>
      </c>
      <c r="P70" s="206">
        <v>1500</v>
      </c>
      <c r="Q70" s="206">
        <v>700</v>
      </c>
      <c r="R70" s="206">
        <v>100</v>
      </c>
      <c r="S70" s="206">
        <v>100</v>
      </c>
      <c r="T70" s="206">
        <v>100</v>
      </c>
      <c r="U70" s="207">
        <f t="shared" si="20"/>
        <v>7100</v>
      </c>
      <c r="V70" s="74">
        <f>'[2]2021 Forecast'!M70</f>
        <v>6574.11</v>
      </c>
      <c r="W70" s="208">
        <f t="shared" si="19"/>
        <v>-525.89000000000033</v>
      </c>
      <c r="Y70" s="243"/>
    </row>
    <row r="71" spans="1:26" ht="15.75" customHeight="1" x14ac:dyDescent="0.3">
      <c r="A71" s="33"/>
      <c r="B71" s="33"/>
      <c r="C71" s="33"/>
      <c r="D71" s="48"/>
      <c r="E71" s="45"/>
      <c r="F71" s="33"/>
      <c r="G71" s="33"/>
      <c r="H71" s="33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70"/>
      <c r="V71" s="50"/>
      <c r="W71" s="82"/>
      <c r="Y71" s="243"/>
    </row>
    <row r="72" spans="1:26" ht="15.75" customHeight="1" x14ac:dyDescent="0.3">
      <c r="A72" s="33"/>
      <c r="B72" s="33"/>
      <c r="C72" s="33"/>
      <c r="D72" s="48"/>
      <c r="E72" s="33"/>
      <c r="F72" s="47" t="str">
        <f>'[2]2021 Forecast'!F72</f>
        <v>Total Payroll Expenses</v>
      </c>
      <c r="G72" s="33"/>
      <c r="H72" s="33"/>
      <c r="I72" s="44">
        <f>SUM(I67:I71)</f>
        <v>112</v>
      </c>
      <c r="J72" s="44">
        <f t="shared" ref="J72:W72" si="22">SUM(J67:J71)</f>
        <v>112</v>
      </c>
      <c r="K72" s="44">
        <f t="shared" si="22"/>
        <v>112</v>
      </c>
      <c r="L72" s="44">
        <f t="shared" si="22"/>
        <v>112</v>
      </c>
      <c r="M72" s="44">
        <f t="shared" si="22"/>
        <v>849</v>
      </c>
      <c r="N72" s="44">
        <f t="shared" si="22"/>
        <v>1745</v>
      </c>
      <c r="O72" s="44">
        <f t="shared" si="22"/>
        <v>2305</v>
      </c>
      <c r="P72" s="44">
        <f t="shared" si="22"/>
        <v>1745</v>
      </c>
      <c r="Q72" s="44">
        <f t="shared" si="22"/>
        <v>849</v>
      </c>
      <c r="R72" s="44">
        <f t="shared" si="22"/>
        <v>112</v>
      </c>
      <c r="S72" s="44">
        <f t="shared" si="22"/>
        <v>112</v>
      </c>
      <c r="T72" s="44">
        <f t="shared" si="22"/>
        <v>112</v>
      </c>
      <c r="U72" s="72">
        <f t="shared" si="22"/>
        <v>8277</v>
      </c>
      <c r="V72" s="44">
        <f t="shared" si="22"/>
        <v>8134.69</v>
      </c>
      <c r="W72" s="84">
        <f t="shared" si="22"/>
        <v>-142.31000000000034</v>
      </c>
      <c r="Y72" s="242">
        <f>V72-U72</f>
        <v>-142.3100000000004</v>
      </c>
    </row>
    <row r="73" spans="1:26" ht="15.75" customHeight="1" x14ac:dyDescent="0.3">
      <c r="A73" s="33"/>
      <c r="B73" s="33"/>
      <c r="C73" s="33"/>
      <c r="D73" s="26"/>
      <c r="E73" s="45" t="str">
        <f>'[2]2021 Forecast'!E73</f>
        <v>Permits &amp; License Reqmts - incl. safety course</v>
      </c>
      <c r="F73" s="47"/>
      <c r="G73" s="33"/>
      <c r="H73" s="33"/>
      <c r="I73" s="42">
        <v>0</v>
      </c>
      <c r="J73" s="42">
        <v>0</v>
      </c>
      <c r="K73" s="42">
        <v>150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70">
        <f t="shared" ref="U73:U77" si="23">SUM(I73:T73)</f>
        <v>150</v>
      </c>
      <c r="V73" s="50">
        <f>'[2]2021 Forecast'!M73</f>
        <v>20</v>
      </c>
      <c r="W73" s="82">
        <f t="shared" ref="W73:W77" si="24">V73-U73</f>
        <v>-130</v>
      </c>
      <c r="Y73" s="242"/>
    </row>
    <row r="74" spans="1:26" ht="15.75" customHeight="1" x14ac:dyDescent="0.3">
      <c r="A74" s="33"/>
      <c r="B74" s="33"/>
      <c r="C74" s="33"/>
      <c r="D74" s="48"/>
      <c r="E74" s="45" t="str">
        <f>'[2]2021 Forecast'!E74</f>
        <v>Pool Cleaning Service</v>
      </c>
      <c r="F74" s="47"/>
      <c r="G74" s="33"/>
      <c r="H74" s="33"/>
      <c r="I74" s="42">
        <v>0</v>
      </c>
      <c r="J74" s="42">
        <v>150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150</v>
      </c>
      <c r="S74" s="42">
        <v>150</v>
      </c>
      <c r="T74" s="42">
        <v>0</v>
      </c>
      <c r="U74" s="70">
        <f t="shared" si="23"/>
        <v>450</v>
      </c>
      <c r="V74" s="50">
        <f>'[2]2021 Forecast'!M74</f>
        <v>294.13</v>
      </c>
      <c r="W74" s="82">
        <f t="shared" si="24"/>
        <v>-155.87</v>
      </c>
      <c r="Y74" s="243"/>
    </row>
    <row r="75" spans="1:26" ht="15.75" customHeight="1" x14ac:dyDescent="0.3">
      <c r="A75" s="33"/>
      <c r="B75" s="33"/>
      <c r="C75" s="33"/>
      <c r="D75" s="48"/>
      <c r="E75" s="45" t="str">
        <f>'[2]2021 Forecast'!E75</f>
        <v>Pool Furniture</v>
      </c>
      <c r="F75" s="47"/>
      <c r="G75" s="33"/>
      <c r="H75" s="33"/>
      <c r="I75" s="42">
        <v>0</v>
      </c>
      <c r="J75" s="42">
        <v>0</v>
      </c>
      <c r="K75" s="42">
        <v>0</v>
      </c>
      <c r="L75" s="42">
        <v>0</v>
      </c>
      <c r="M75" s="42">
        <v>250</v>
      </c>
      <c r="N75" s="42">
        <v>0</v>
      </c>
      <c r="O75" s="42">
        <v>100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70">
        <f t="shared" si="23"/>
        <v>350</v>
      </c>
      <c r="V75" s="50">
        <f>'[2]2021 Forecast'!M75</f>
        <v>148.69</v>
      </c>
      <c r="W75" s="82">
        <f t="shared" si="24"/>
        <v>-201.31</v>
      </c>
      <c r="Y75" s="243"/>
    </row>
    <row r="76" spans="1:26" ht="15.75" customHeight="1" x14ac:dyDescent="0.3">
      <c r="A76" s="33"/>
      <c r="B76" s="33"/>
      <c r="C76" s="33"/>
      <c r="D76" s="48"/>
      <c r="E76" s="45" t="str">
        <f>'[2]2021 Forecast'!E76</f>
        <v>Repairs</v>
      </c>
      <c r="F76" s="47"/>
      <c r="G76" s="33"/>
      <c r="H76" s="33"/>
      <c r="I76" s="42">
        <v>0</v>
      </c>
      <c r="J76" s="42">
        <v>0</v>
      </c>
      <c r="K76" s="42">
        <v>0</v>
      </c>
      <c r="L76" s="142">
        <f>2500*0</f>
        <v>0</v>
      </c>
      <c r="M76" s="42">
        <v>1000</v>
      </c>
      <c r="N76" s="42">
        <v>0</v>
      </c>
      <c r="O76" s="42">
        <v>0</v>
      </c>
      <c r="P76" s="42">
        <v>0</v>
      </c>
      <c r="Q76" s="42">
        <v>1500</v>
      </c>
      <c r="R76" s="42">
        <v>0</v>
      </c>
      <c r="S76" s="42">
        <v>0</v>
      </c>
      <c r="T76" s="42">
        <v>0</v>
      </c>
      <c r="U76" s="70">
        <f t="shared" si="23"/>
        <v>2500</v>
      </c>
      <c r="V76" s="50">
        <f>'[2]2021 Forecast'!M76</f>
        <v>7488.56</v>
      </c>
      <c r="W76" s="82">
        <f t="shared" si="24"/>
        <v>4988.5600000000004</v>
      </c>
      <c r="Y76" s="243"/>
    </row>
    <row r="77" spans="1:26" ht="15.75" customHeight="1" x14ac:dyDescent="0.3">
      <c r="A77" s="33"/>
      <c r="B77" s="33"/>
      <c r="C77" s="33"/>
      <c r="D77" s="26"/>
      <c r="E77" s="45" t="str">
        <f>'[2]2021 Forecast'!E77</f>
        <v>Supplies</v>
      </c>
      <c r="F77" s="33"/>
      <c r="G77" s="33"/>
      <c r="H77" s="33"/>
      <c r="I77" s="206">
        <v>0</v>
      </c>
      <c r="J77" s="206">
        <v>0</v>
      </c>
      <c r="K77" s="206">
        <v>0</v>
      </c>
      <c r="L77" s="206">
        <v>50</v>
      </c>
      <c r="M77" s="206">
        <v>50</v>
      </c>
      <c r="N77" s="206">
        <v>50</v>
      </c>
      <c r="O77" s="206">
        <v>50</v>
      </c>
      <c r="P77" s="206">
        <v>50</v>
      </c>
      <c r="Q77" s="206">
        <v>0</v>
      </c>
      <c r="R77" s="206">
        <v>0</v>
      </c>
      <c r="S77" s="206">
        <v>0</v>
      </c>
      <c r="T77" s="206">
        <v>0</v>
      </c>
      <c r="U77" s="207">
        <f t="shared" si="23"/>
        <v>250</v>
      </c>
      <c r="V77" s="74">
        <f>'[2]2021 Forecast'!M77</f>
        <v>53.46</v>
      </c>
      <c r="W77" s="208">
        <f t="shared" si="24"/>
        <v>-196.54</v>
      </c>
      <c r="Y77" s="243"/>
    </row>
    <row r="78" spans="1:26" ht="15.75" customHeight="1" x14ac:dyDescent="0.3">
      <c r="A78" s="33"/>
      <c r="B78" s="33"/>
      <c r="C78" s="33"/>
      <c r="D78" s="26"/>
      <c r="E78" s="33"/>
      <c r="F78" s="33"/>
      <c r="G78" s="33"/>
      <c r="H78" s="33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70"/>
      <c r="V78" s="50"/>
      <c r="W78" s="82"/>
      <c r="Y78" s="243"/>
    </row>
    <row r="79" spans="1:26" ht="15.75" customHeight="1" x14ac:dyDescent="0.3">
      <c r="A79" s="33"/>
      <c r="B79" s="33"/>
      <c r="C79" s="33"/>
      <c r="D79" s="47" t="str">
        <f>'[2]2021 Forecast'!D79</f>
        <v>Total Pool Expense</v>
      </c>
      <c r="E79" s="33"/>
      <c r="F79" s="33"/>
      <c r="G79" s="33"/>
      <c r="H79" s="33"/>
      <c r="I79" s="44">
        <f>SUM(I64:I65,I72:I77)</f>
        <v>112</v>
      </c>
      <c r="J79" s="44">
        <f t="shared" ref="J79:W79" si="25">SUM(J64:J65,J72:J77)</f>
        <v>262</v>
      </c>
      <c r="K79" s="44">
        <f t="shared" si="25"/>
        <v>762</v>
      </c>
      <c r="L79" s="44">
        <f t="shared" si="25"/>
        <v>812</v>
      </c>
      <c r="M79" s="44">
        <f t="shared" si="25"/>
        <v>2649</v>
      </c>
      <c r="N79" s="44">
        <f t="shared" si="25"/>
        <v>2295</v>
      </c>
      <c r="O79" s="44">
        <f t="shared" si="25"/>
        <v>2705</v>
      </c>
      <c r="P79" s="44">
        <f t="shared" si="25"/>
        <v>1945</v>
      </c>
      <c r="Q79" s="44">
        <f t="shared" si="25"/>
        <v>2349</v>
      </c>
      <c r="R79" s="44">
        <f t="shared" si="25"/>
        <v>262</v>
      </c>
      <c r="S79" s="44">
        <f t="shared" si="25"/>
        <v>412</v>
      </c>
      <c r="T79" s="44">
        <f t="shared" si="25"/>
        <v>112</v>
      </c>
      <c r="U79" s="72">
        <f t="shared" si="25"/>
        <v>14677</v>
      </c>
      <c r="V79" s="44">
        <f t="shared" si="25"/>
        <v>18053.32</v>
      </c>
      <c r="W79" s="84">
        <f t="shared" si="25"/>
        <v>3376.32</v>
      </c>
      <c r="X79" s="33"/>
      <c r="Y79" s="242">
        <f>V79-U79</f>
        <v>3376.3199999999997</v>
      </c>
    </row>
    <row r="80" spans="1:26" ht="15.75" customHeight="1" x14ac:dyDescent="0.3">
      <c r="A80" s="33"/>
      <c r="B80" s="33"/>
      <c r="C80" s="33"/>
      <c r="D80" s="26"/>
      <c r="E80" s="33"/>
      <c r="F80" s="33"/>
      <c r="G80" s="33"/>
      <c r="H80" s="33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70"/>
      <c r="V80" s="50"/>
      <c r="W80" s="82"/>
      <c r="X80" s="33"/>
      <c r="Y80" s="243"/>
    </row>
    <row r="81" spans="1:25" ht="15.75" customHeight="1" x14ac:dyDescent="0.3">
      <c r="A81" s="33"/>
      <c r="B81" s="33"/>
      <c r="C81" s="33"/>
      <c r="D81" s="47" t="str">
        <f>'[2]2021 Forecast'!D81</f>
        <v>Property Management Expenses</v>
      </c>
      <c r="E81" s="33"/>
      <c r="F81" s="33"/>
      <c r="G81" s="33"/>
      <c r="H81" s="164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70"/>
      <c r="V81" s="50"/>
      <c r="W81" s="82"/>
      <c r="X81" s="33"/>
      <c r="Y81" s="243"/>
    </row>
    <row r="82" spans="1:25" ht="15.75" customHeight="1" x14ac:dyDescent="0.3">
      <c r="A82" s="33"/>
      <c r="B82" s="33"/>
      <c r="C82" s="33"/>
      <c r="D82" s="45"/>
      <c r="E82" s="45" t="str">
        <f>'[2]2021 Forecast'!E82</f>
        <v>Monthly Service Management Fee</v>
      </c>
      <c r="F82" s="33"/>
      <c r="G82" s="33"/>
      <c r="H82" s="164"/>
      <c r="I82" s="42">
        <v>895</v>
      </c>
      <c r="J82" s="42">
        <v>895</v>
      </c>
      <c r="K82" s="42">
        <v>895</v>
      </c>
      <c r="L82" s="42">
        <v>895</v>
      </c>
      <c r="M82" s="42">
        <v>895</v>
      </c>
      <c r="N82" s="42">
        <v>895</v>
      </c>
      <c r="O82" s="42">
        <v>895</v>
      </c>
      <c r="P82" s="42">
        <v>895</v>
      </c>
      <c r="Q82" s="42">
        <v>895</v>
      </c>
      <c r="R82" s="42">
        <v>895</v>
      </c>
      <c r="S82" s="42">
        <v>895</v>
      </c>
      <c r="T82" s="42">
        <v>895</v>
      </c>
      <c r="U82" s="70">
        <f t="shared" ref="U82:U85" si="26">SUM(I82:T82)</f>
        <v>10740</v>
      </c>
      <c r="V82" s="50">
        <f>'[2]2021 Forecast'!M82</f>
        <v>9845</v>
      </c>
      <c r="W82" s="82">
        <f t="shared" ref="W82:W85" si="27">V82-U82</f>
        <v>-895</v>
      </c>
      <c r="Y82" s="243"/>
    </row>
    <row r="83" spans="1:25" ht="15.75" customHeight="1" x14ac:dyDescent="0.3">
      <c r="A83" s="33"/>
      <c r="B83" s="33"/>
      <c r="C83" s="33"/>
      <c r="D83" s="45"/>
      <c r="E83" s="45" t="str">
        <f>'[2]2021 Forecast'!E83</f>
        <v>Payroll Preparation</v>
      </c>
      <c r="F83" s="33"/>
      <c r="G83" s="33"/>
      <c r="H83" s="163"/>
      <c r="I83" s="42">
        <v>0</v>
      </c>
      <c r="J83" s="42">
        <v>0</v>
      </c>
      <c r="K83" s="42">
        <v>0</v>
      </c>
      <c r="L83" s="42">
        <v>0</v>
      </c>
      <c r="M83" s="42">
        <v>50</v>
      </c>
      <c r="N83" s="42">
        <v>50</v>
      </c>
      <c r="O83" s="42">
        <v>50</v>
      </c>
      <c r="P83" s="42">
        <v>50</v>
      </c>
      <c r="Q83" s="42">
        <v>50</v>
      </c>
      <c r="R83" s="42">
        <v>0</v>
      </c>
      <c r="S83" s="42">
        <v>0</v>
      </c>
      <c r="T83" s="42">
        <v>0</v>
      </c>
      <c r="U83" s="70">
        <f t="shared" si="26"/>
        <v>250</v>
      </c>
      <c r="V83" s="50">
        <f>'[2]2021 Forecast'!M83</f>
        <v>265</v>
      </c>
      <c r="W83" s="82">
        <f t="shared" si="27"/>
        <v>15</v>
      </c>
      <c r="Y83" s="243"/>
    </row>
    <row r="84" spans="1:25" ht="15.75" customHeight="1" x14ac:dyDescent="0.3">
      <c r="A84" s="33"/>
      <c r="B84" s="33"/>
      <c r="C84" s="33"/>
      <c r="D84" s="45"/>
      <c r="E84" s="45" t="str">
        <f>'[2]2021 Forecast'!E84</f>
        <v>Project Management Fee</v>
      </c>
      <c r="F84" s="33"/>
      <c r="G84" s="33"/>
      <c r="H84" s="249">
        <v>0.1</v>
      </c>
      <c r="I84" s="50">
        <f t="shared" ref="I84:K84" si="28">$H$84*I76</f>
        <v>0</v>
      </c>
      <c r="J84" s="50">
        <f t="shared" si="28"/>
        <v>0</v>
      </c>
      <c r="K84" s="50">
        <f t="shared" si="28"/>
        <v>0</v>
      </c>
      <c r="L84" s="50">
        <f>$H$84*L76</f>
        <v>0</v>
      </c>
      <c r="M84" s="50">
        <f t="shared" ref="M84:T84" si="29">$H$84*M76</f>
        <v>100</v>
      </c>
      <c r="N84" s="50">
        <f t="shared" si="29"/>
        <v>0</v>
      </c>
      <c r="O84" s="50">
        <f t="shared" si="29"/>
        <v>0</v>
      </c>
      <c r="P84" s="50">
        <f t="shared" si="29"/>
        <v>0</v>
      </c>
      <c r="Q84" s="50">
        <f t="shared" si="29"/>
        <v>150</v>
      </c>
      <c r="R84" s="50">
        <f t="shared" si="29"/>
        <v>0</v>
      </c>
      <c r="S84" s="50">
        <f t="shared" si="29"/>
        <v>0</v>
      </c>
      <c r="T84" s="50">
        <f t="shared" si="29"/>
        <v>0</v>
      </c>
      <c r="U84" s="70">
        <f t="shared" si="26"/>
        <v>250</v>
      </c>
      <c r="V84" s="50">
        <f>'[2]2021 Forecast'!M84</f>
        <v>425</v>
      </c>
      <c r="W84" s="82">
        <f t="shared" si="27"/>
        <v>175</v>
      </c>
      <c r="Y84" s="243"/>
    </row>
    <row r="85" spans="1:25" ht="15.75" customHeight="1" x14ac:dyDescent="0.3">
      <c r="A85" s="33"/>
      <c r="B85" s="33"/>
      <c r="C85" s="33"/>
      <c r="D85" s="45"/>
      <c r="E85" s="45" t="str">
        <f>'[2]2021 Forecast'!E85</f>
        <v>Resale Certificate Fee</v>
      </c>
      <c r="F85" s="33"/>
      <c r="G85" s="33"/>
      <c r="H85" s="33"/>
      <c r="I85" s="42">
        <v>0</v>
      </c>
      <c r="J85" s="42">
        <v>0</v>
      </c>
      <c r="K85" s="42">
        <f>150*2</f>
        <v>300</v>
      </c>
      <c r="L85" s="42">
        <f>150*2</f>
        <v>300</v>
      </c>
      <c r="M85" s="42">
        <v>150</v>
      </c>
      <c r="N85" s="42">
        <v>0</v>
      </c>
      <c r="O85" s="42">
        <v>0</v>
      </c>
      <c r="P85" s="42">
        <v>150</v>
      </c>
      <c r="Q85" s="42">
        <v>150</v>
      </c>
      <c r="R85" s="42">
        <v>0</v>
      </c>
      <c r="S85" s="42">
        <v>0</v>
      </c>
      <c r="T85" s="42">
        <v>0</v>
      </c>
      <c r="U85" s="70">
        <f t="shared" si="26"/>
        <v>1050</v>
      </c>
      <c r="V85" s="50">
        <f>'[2]2021 Forecast'!M85</f>
        <v>1430</v>
      </c>
      <c r="W85" s="82">
        <f t="shared" si="27"/>
        <v>380</v>
      </c>
      <c r="Y85" s="243"/>
    </row>
    <row r="86" spans="1:25" ht="15.75" customHeight="1" x14ac:dyDescent="0.3">
      <c r="A86" s="33"/>
      <c r="B86" s="33"/>
      <c r="C86" s="33"/>
      <c r="D86" s="45"/>
      <c r="E86" s="45"/>
      <c r="F86" s="33"/>
      <c r="G86" s="33"/>
      <c r="H86" s="3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71"/>
      <c r="V86" s="80"/>
      <c r="W86" s="83"/>
      <c r="Y86" s="243"/>
    </row>
    <row r="87" spans="1:25" ht="15.75" customHeight="1" x14ac:dyDescent="0.3">
      <c r="A87" s="33"/>
      <c r="B87" s="33"/>
      <c r="C87" s="33"/>
      <c r="D87" s="47" t="str">
        <f>'[2]2021 Forecast'!D87</f>
        <v>Total - Property Management Expenses</v>
      </c>
      <c r="E87" s="33"/>
      <c r="F87" s="33"/>
      <c r="G87" s="33"/>
      <c r="H87" s="33"/>
      <c r="I87" s="44">
        <f>SUM(I82:I86)</f>
        <v>895</v>
      </c>
      <c r="J87" s="44">
        <f t="shared" ref="J87:W87" si="30">SUM(J82:J86)</f>
        <v>895</v>
      </c>
      <c r="K87" s="44">
        <f t="shared" si="30"/>
        <v>1195</v>
      </c>
      <c r="L87" s="44">
        <f t="shared" si="30"/>
        <v>1195</v>
      </c>
      <c r="M87" s="44">
        <f t="shared" si="30"/>
        <v>1195</v>
      </c>
      <c r="N87" s="44">
        <f t="shared" si="30"/>
        <v>945</v>
      </c>
      <c r="O87" s="44">
        <f t="shared" si="30"/>
        <v>945</v>
      </c>
      <c r="P87" s="44">
        <f t="shared" si="30"/>
        <v>1095</v>
      </c>
      <c r="Q87" s="44">
        <f t="shared" si="30"/>
        <v>1245</v>
      </c>
      <c r="R87" s="44">
        <f t="shared" si="30"/>
        <v>895</v>
      </c>
      <c r="S87" s="44">
        <f t="shared" si="30"/>
        <v>895</v>
      </c>
      <c r="T87" s="44">
        <f t="shared" si="30"/>
        <v>895</v>
      </c>
      <c r="U87" s="72">
        <f t="shared" si="30"/>
        <v>12290</v>
      </c>
      <c r="V87" s="44">
        <f t="shared" si="30"/>
        <v>11965</v>
      </c>
      <c r="W87" s="84">
        <f t="shared" si="30"/>
        <v>-325</v>
      </c>
      <c r="Y87" s="242">
        <f>V87-U87</f>
        <v>-325</v>
      </c>
    </row>
    <row r="88" spans="1:25" ht="15.75" customHeight="1" x14ac:dyDescent="0.3">
      <c r="A88" s="33"/>
      <c r="B88" s="33"/>
      <c r="C88" s="33"/>
      <c r="D88" s="45"/>
      <c r="E88" s="33"/>
      <c r="F88" s="33"/>
      <c r="G88" s="33"/>
      <c r="H88" s="33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70"/>
      <c r="V88" s="50"/>
      <c r="W88" s="82"/>
      <c r="Y88" s="243"/>
    </row>
    <row r="89" spans="1:25" ht="15.75" customHeight="1" x14ac:dyDescent="0.3">
      <c r="A89" s="33"/>
      <c r="B89" s="33"/>
      <c r="C89" s="33"/>
      <c r="D89" s="45"/>
      <c r="E89" s="33" t="str">
        <f>'[2]2021 Forecast'!E89</f>
        <v>Uncategorized Expense</v>
      </c>
      <c r="F89" s="33"/>
      <c r="G89" s="33"/>
      <c r="H89" s="33"/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70">
        <f>SUM(I89:T89)</f>
        <v>0</v>
      </c>
      <c r="V89" s="50">
        <f>'[2]2021 Forecast'!M89</f>
        <v>300</v>
      </c>
      <c r="W89" s="82">
        <f>V89-U89</f>
        <v>300</v>
      </c>
      <c r="Y89" s="242">
        <f>V89-U89</f>
        <v>300</v>
      </c>
    </row>
    <row r="90" spans="1:25" ht="15.75" customHeight="1" x14ac:dyDescent="0.3">
      <c r="A90" s="33"/>
      <c r="B90" s="33"/>
      <c r="C90" s="33"/>
      <c r="D90" s="45"/>
      <c r="E90" s="33"/>
      <c r="F90" s="33"/>
      <c r="G90" s="33"/>
      <c r="H90" s="33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70"/>
      <c r="V90" s="50"/>
      <c r="W90" s="82"/>
      <c r="Y90" s="243"/>
    </row>
    <row r="91" spans="1:25" ht="15.75" customHeight="1" x14ac:dyDescent="0.3">
      <c r="A91" s="33"/>
      <c r="B91" s="33"/>
      <c r="C91" s="33"/>
      <c r="D91" s="47" t="str">
        <f>'[2]2021 Forecast'!D91</f>
        <v>Utilities</v>
      </c>
      <c r="E91" s="45"/>
      <c r="F91" s="33"/>
      <c r="G91" s="33"/>
      <c r="H91" s="33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70"/>
      <c r="V91" s="50"/>
      <c r="W91" s="82"/>
      <c r="Y91" s="243"/>
    </row>
    <row r="92" spans="1:25" ht="15.75" customHeight="1" x14ac:dyDescent="0.3">
      <c r="A92" s="33"/>
      <c r="B92" s="33"/>
      <c r="C92" s="33"/>
      <c r="D92" s="47"/>
      <c r="E92" s="33" t="str">
        <f>'[2]2021 Forecast'!E92</f>
        <v>Arapaho W&amp;S</v>
      </c>
      <c r="F92" s="33"/>
      <c r="G92" s="33"/>
      <c r="H92" s="33"/>
      <c r="I92" s="42">
        <v>32.700000000000003</v>
      </c>
      <c r="J92" s="42">
        <v>32.700000000000003</v>
      </c>
      <c r="K92" s="42">
        <v>32.700000000000003</v>
      </c>
      <c r="L92" s="42">
        <v>32.700000000000003</v>
      </c>
      <c r="M92" s="42">
        <v>32.700000000000003</v>
      </c>
      <c r="N92" s="42">
        <v>32.700000000000003</v>
      </c>
      <c r="O92" s="42">
        <v>32.700000000000003</v>
      </c>
      <c r="P92" s="42">
        <v>32.700000000000003</v>
      </c>
      <c r="Q92" s="42">
        <v>32.700000000000003</v>
      </c>
      <c r="R92" s="42">
        <v>32.700000000000003</v>
      </c>
      <c r="S92" s="42">
        <v>32.700000000000003</v>
      </c>
      <c r="T92" s="42">
        <v>32.700000000000003</v>
      </c>
      <c r="U92" s="70">
        <f t="shared" ref="U92:U94" si="31">SUM(I92:T92)</f>
        <v>392.39999999999992</v>
      </c>
      <c r="V92" s="50">
        <f>'[2]2021 Forecast'!M92</f>
        <v>378.08</v>
      </c>
      <c r="W92" s="82">
        <f t="shared" ref="W92:W94" si="32">V92-U92</f>
        <v>-14.319999999999936</v>
      </c>
      <c r="Y92" s="243"/>
    </row>
    <row r="93" spans="1:25" ht="15.75" customHeight="1" x14ac:dyDescent="0.3">
      <c r="A93" s="33"/>
      <c r="B93" s="33"/>
      <c r="C93" s="33"/>
      <c r="D93" s="33"/>
      <c r="E93" s="45" t="str">
        <f>'[2]2021 Forecast'!E93</f>
        <v>Electric</v>
      </c>
      <c r="F93" s="33"/>
      <c r="G93" s="33"/>
      <c r="H93" s="33"/>
      <c r="I93" s="42">
        <v>315</v>
      </c>
      <c r="J93" s="42">
        <v>315</v>
      </c>
      <c r="K93" s="42">
        <v>315</v>
      </c>
      <c r="L93" s="42">
        <v>315</v>
      </c>
      <c r="M93" s="42">
        <v>315</v>
      </c>
      <c r="N93" s="42">
        <v>315</v>
      </c>
      <c r="O93" s="42">
        <v>315</v>
      </c>
      <c r="P93" s="42">
        <v>315</v>
      </c>
      <c r="Q93" s="42">
        <v>315</v>
      </c>
      <c r="R93" s="42">
        <v>315</v>
      </c>
      <c r="S93" s="42">
        <v>315</v>
      </c>
      <c r="T93" s="42">
        <v>315</v>
      </c>
      <c r="U93" s="70">
        <f t="shared" si="31"/>
        <v>3780</v>
      </c>
      <c r="V93" s="50">
        <f>'[2]2021 Forecast'!M93</f>
        <v>3523.78</v>
      </c>
      <c r="W93" s="82">
        <f t="shared" si="32"/>
        <v>-256.2199999999998</v>
      </c>
      <c r="Y93" s="243"/>
    </row>
    <row r="94" spans="1:25" ht="15.75" customHeight="1" x14ac:dyDescent="0.3">
      <c r="A94" s="33"/>
      <c r="B94" s="33"/>
      <c r="C94" s="33"/>
      <c r="D94" s="33"/>
      <c r="E94" s="45" t="str">
        <f>'[2]2021 Forecast'!E94</f>
        <v>Water &amp; Sewage - park</v>
      </c>
      <c r="F94" s="33"/>
      <c r="G94" s="33"/>
      <c r="H94" s="33"/>
      <c r="I94" s="206">
        <v>250</v>
      </c>
      <c r="J94" s="206">
        <v>250</v>
      </c>
      <c r="K94" s="206">
        <v>500</v>
      </c>
      <c r="L94" s="206">
        <v>500</v>
      </c>
      <c r="M94" s="206">
        <v>750</v>
      </c>
      <c r="N94" s="206">
        <v>1500</v>
      </c>
      <c r="O94" s="206">
        <v>1500</v>
      </c>
      <c r="P94" s="206">
        <v>1500</v>
      </c>
      <c r="Q94" s="206">
        <v>1200</v>
      </c>
      <c r="R94" s="206">
        <v>750</v>
      </c>
      <c r="S94" s="206">
        <v>500</v>
      </c>
      <c r="T94" s="206">
        <v>500</v>
      </c>
      <c r="U94" s="207">
        <f t="shared" si="31"/>
        <v>9700</v>
      </c>
      <c r="V94" s="74">
        <f>'[2]2021 Forecast'!M94</f>
        <v>9563.0499999999993</v>
      </c>
      <c r="W94" s="208">
        <f t="shared" si="32"/>
        <v>-136.95000000000073</v>
      </c>
      <c r="X94" s="33"/>
      <c r="Y94" s="243"/>
    </row>
    <row r="95" spans="1:25" ht="15.75" customHeight="1" x14ac:dyDescent="0.3">
      <c r="A95" s="33"/>
      <c r="B95" s="33"/>
      <c r="C95" s="33"/>
      <c r="D95" s="33"/>
      <c r="E95" s="45"/>
      <c r="F95" s="33"/>
      <c r="G95" s="33"/>
      <c r="H95" s="33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70"/>
      <c r="V95" s="50"/>
      <c r="W95" s="82"/>
      <c r="Y95" s="243"/>
    </row>
    <row r="96" spans="1:25" ht="15.75" customHeight="1" x14ac:dyDescent="0.3">
      <c r="A96" s="33"/>
      <c r="B96" s="33"/>
      <c r="C96" s="33"/>
      <c r="D96" s="47" t="str">
        <f>'[2]2021 Forecast'!D96</f>
        <v>Total Utilities</v>
      </c>
      <c r="E96" s="45"/>
      <c r="F96" s="33"/>
      <c r="G96" s="33"/>
      <c r="H96" s="33"/>
      <c r="I96" s="44">
        <f>SUM(I92:I95)</f>
        <v>597.70000000000005</v>
      </c>
      <c r="J96" s="44">
        <f t="shared" ref="J96:W96" si="33">SUM(J92:J95)</f>
        <v>597.70000000000005</v>
      </c>
      <c r="K96" s="44">
        <f t="shared" si="33"/>
        <v>847.7</v>
      </c>
      <c r="L96" s="44">
        <f t="shared" si="33"/>
        <v>847.7</v>
      </c>
      <c r="M96" s="44">
        <f t="shared" si="33"/>
        <v>1097.7</v>
      </c>
      <c r="N96" s="44">
        <f t="shared" si="33"/>
        <v>1847.7</v>
      </c>
      <c r="O96" s="44">
        <f t="shared" si="33"/>
        <v>1847.7</v>
      </c>
      <c r="P96" s="44">
        <f t="shared" si="33"/>
        <v>1847.7</v>
      </c>
      <c r="Q96" s="44">
        <f t="shared" si="33"/>
        <v>1547.7</v>
      </c>
      <c r="R96" s="44">
        <f t="shared" si="33"/>
        <v>1097.7</v>
      </c>
      <c r="S96" s="44">
        <f t="shared" si="33"/>
        <v>847.7</v>
      </c>
      <c r="T96" s="44">
        <f t="shared" si="33"/>
        <v>847.7</v>
      </c>
      <c r="U96" s="72">
        <f t="shared" si="33"/>
        <v>13872.4</v>
      </c>
      <c r="V96" s="44">
        <f t="shared" si="33"/>
        <v>13464.91</v>
      </c>
      <c r="W96" s="84">
        <f t="shared" si="33"/>
        <v>-407.49000000000046</v>
      </c>
      <c r="Y96" s="242">
        <f>V96-U96</f>
        <v>-407.48999999999978</v>
      </c>
    </row>
    <row r="97" spans="1:28" ht="15.75" customHeight="1" x14ac:dyDescent="0.3">
      <c r="A97" s="33"/>
      <c r="B97" s="33"/>
      <c r="C97" s="33"/>
      <c r="D97" s="45"/>
      <c r="E97" s="33"/>
      <c r="F97" s="33"/>
      <c r="G97" s="33"/>
      <c r="H97" s="33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70"/>
      <c r="V97" s="50"/>
      <c r="W97" s="82"/>
      <c r="Y97" s="243"/>
    </row>
    <row r="98" spans="1:28" ht="15.75" customHeight="1" x14ac:dyDescent="0.3">
      <c r="A98" s="33"/>
      <c r="B98" s="33"/>
      <c r="C98" s="47" t="str">
        <f>'[2]2021 Forecast'!C98</f>
        <v>Total Expense</v>
      </c>
      <c r="D98" s="33"/>
      <c r="E98" s="45"/>
      <c r="F98" s="33"/>
      <c r="G98" s="33"/>
      <c r="H98" s="33"/>
      <c r="I98" s="44">
        <f>I41+I50+I61+I79+I87+I89+I96</f>
        <v>4306.7300078905628</v>
      </c>
      <c r="J98" s="44">
        <f t="shared" ref="J98:W98" si="34">J41+J50+J61+J79+J87+J89+J96</f>
        <v>4145.3634910373803</v>
      </c>
      <c r="K98" s="44">
        <f t="shared" si="34"/>
        <v>7448.0048004739137</v>
      </c>
      <c r="L98" s="44">
        <f t="shared" si="34"/>
        <v>14641.563249101719</v>
      </c>
      <c r="M98" s="44">
        <f t="shared" si="34"/>
        <v>11176.21025574835</v>
      </c>
      <c r="N98" s="44">
        <f t="shared" si="34"/>
        <v>13191.005285734844</v>
      </c>
      <c r="O98" s="44">
        <f t="shared" si="34"/>
        <v>10823.319652495848</v>
      </c>
      <c r="P98" s="44">
        <f t="shared" si="34"/>
        <v>9408.8423095007347</v>
      </c>
      <c r="Q98" s="44">
        <f t="shared" si="34"/>
        <v>8456.9969495619753</v>
      </c>
      <c r="R98" s="44">
        <f t="shared" si="34"/>
        <v>9466.8056946848319</v>
      </c>
      <c r="S98" s="44">
        <f t="shared" si="34"/>
        <v>6661.2034280132975</v>
      </c>
      <c r="T98" s="44">
        <f t="shared" si="34"/>
        <v>4007.6703773283389</v>
      </c>
      <c r="U98" s="72">
        <f t="shared" si="34"/>
        <v>103733.71550157179</v>
      </c>
      <c r="V98" s="44">
        <f t="shared" si="34"/>
        <v>108148.56</v>
      </c>
      <c r="W98" s="84">
        <f t="shared" si="34"/>
        <v>4414.8444984282087</v>
      </c>
      <c r="Y98" s="242">
        <f>V98-U98</f>
        <v>4414.8444984282105</v>
      </c>
    </row>
    <row r="99" spans="1:28" ht="15.75" customHeight="1" x14ac:dyDescent="0.3">
      <c r="A99" s="33"/>
      <c r="B99" s="33"/>
      <c r="C99" s="33"/>
      <c r="D99" s="45"/>
      <c r="E99" s="45"/>
      <c r="F99" s="33"/>
      <c r="G99" s="33"/>
      <c r="H99" s="3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70"/>
      <c r="V99" s="50"/>
      <c r="W99" s="82"/>
      <c r="Y99" s="244"/>
    </row>
    <row r="100" spans="1:28" ht="15.75" customHeight="1" x14ac:dyDescent="0.3">
      <c r="A100" s="33"/>
      <c r="B100" s="47" t="s">
        <v>107</v>
      </c>
      <c r="C100" s="33"/>
      <c r="D100" s="45"/>
      <c r="E100" s="45"/>
      <c r="F100" s="33"/>
      <c r="G100" s="33"/>
      <c r="H100" s="33"/>
      <c r="I100" s="138">
        <f>I23-I98</f>
        <v>14110.898812421934</v>
      </c>
      <c r="J100" s="138">
        <f t="shared" ref="J100:V100" si="35">J23-J98</f>
        <v>3608.9240704274634</v>
      </c>
      <c r="K100" s="138">
        <f t="shared" si="35"/>
        <v>277.14644270191638</v>
      </c>
      <c r="L100" s="138">
        <f t="shared" si="35"/>
        <v>443.84815339793022</v>
      </c>
      <c r="M100" s="138">
        <f t="shared" si="35"/>
        <v>-3528.8167427299541</v>
      </c>
      <c r="N100" s="138">
        <f t="shared" si="35"/>
        <v>-5444.010629702143</v>
      </c>
      <c r="O100" s="138">
        <f t="shared" si="35"/>
        <v>7540.9223217904328</v>
      </c>
      <c r="P100" s="138">
        <f t="shared" si="35"/>
        <v>-1812.7994954073083</v>
      </c>
      <c r="Q100" s="138">
        <f t="shared" si="35"/>
        <v>-880.64978936284842</v>
      </c>
      <c r="R100" s="138">
        <f t="shared" si="35"/>
        <v>8980.6580942157834</v>
      </c>
      <c r="S100" s="138">
        <f t="shared" si="35"/>
        <v>937.3328643040777</v>
      </c>
      <c r="T100" s="138">
        <f t="shared" si="35"/>
        <v>3657.0864621814162</v>
      </c>
      <c r="U100" s="139">
        <f t="shared" si="35"/>
        <v>27890.54056423872</v>
      </c>
      <c r="V100" s="138">
        <f t="shared" si="35"/>
        <v>20037.684002083333</v>
      </c>
      <c r="W100" s="212">
        <f>W98+W23</f>
        <v>7852.8565621554026</v>
      </c>
      <c r="Y100" s="242">
        <f>U100-V100</f>
        <v>7852.8565621553862</v>
      </c>
    </row>
    <row r="101" spans="1:28" ht="15.75" customHeight="1" x14ac:dyDescent="0.3">
      <c r="A101" s="33"/>
      <c r="B101" s="33"/>
      <c r="C101" s="33"/>
      <c r="D101" s="45"/>
      <c r="E101" s="45"/>
      <c r="F101" s="33"/>
      <c r="G101" s="33"/>
      <c r="H101" s="33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70"/>
      <c r="V101" s="50"/>
      <c r="W101" s="82"/>
      <c r="Y101" s="194"/>
    </row>
    <row r="102" spans="1:28" ht="15.75" customHeight="1" x14ac:dyDescent="0.3">
      <c r="A102" s="33"/>
      <c r="B102" s="33"/>
      <c r="C102" s="47" t="str">
        <f>'[2]2021 Forecast'!C102</f>
        <v>Other (Income) / Expenses</v>
      </c>
      <c r="D102" s="45"/>
      <c r="E102" s="45"/>
      <c r="F102" s="33"/>
      <c r="G102" s="33"/>
      <c r="H102" s="33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70"/>
      <c r="V102" s="50"/>
      <c r="W102" s="82"/>
      <c r="Y102" s="243"/>
    </row>
    <row r="103" spans="1:28" ht="15.75" customHeight="1" x14ac:dyDescent="0.3">
      <c r="A103" s="33"/>
      <c r="B103" s="33"/>
      <c r="C103" s="33"/>
      <c r="D103" s="47" t="str">
        <f>'[2]2021 Forecast'!D103</f>
        <v>Project and Required Maintenance</v>
      </c>
      <c r="E103" s="33"/>
      <c r="F103" s="33"/>
      <c r="G103" s="26"/>
      <c r="H103" s="33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70"/>
      <c r="V103" s="50"/>
      <c r="W103" s="82"/>
      <c r="X103" s="33"/>
      <c r="Y103" s="243"/>
    </row>
    <row r="104" spans="1:28" ht="15.75" customHeight="1" x14ac:dyDescent="0.3">
      <c r="A104" s="33"/>
      <c r="B104" s="33"/>
      <c r="C104" s="33"/>
      <c r="D104" s="45"/>
      <c r="E104" s="48" t="str">
        <f>'[2]2021 Forecast'!E104</f>
        <v>Deck Repair - 2021</v>
      </c>
      <c r="F104" s="45"/>
      <c r="G104" s="26"/>
      <c r="H104" s="33"/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70">
        <f t="shared" ref="U104:U106" si="36">SUM(I104:T104)</f>
        <v>0</v>
      </c>
      <c r="V104" s="50">
        <f>'[2]2021 Forecast'!M104</f>
        <v>835.24</v>
      </c>
      <c r="W104" s="82">
        <f t="shared" ref="W104" si="37">V104-U104</f>
        <v>835.24</v>
      </c>
      <c r="X104" s="33"/>
      <c r="Y104" s="243"/>
    </row>
    <row r="105" spans="1:28" ht="15.75" customHeight="1" x14ac:dyDescent="0.3">
      <c r="A105" s="33"/>
      <c r="B105" s="33"/>
      <c r="C105" s="33"/>
      <c r="D105" s="45"/>
      <c r="E105" s="48" t="str">
        <f>'[2]2021 Forecast'!E105</f>
        <v>Other</v>
      </c>
      <c r="F105" s="33"/>
      <c r="G105" s="26"/>
      <c r="H105" s="33"/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70">
        <f t="shared" si="36"/>
        <v>0</v>
      </c>
      <c r="V105" s="50">
        <f>'[2]2021 Forecast'!M105</f>
        <v>0</v>
      </c>
      <c r="W105" s="82">
        <f t="shared" ref="W105:W106" si="38">U105-V105</f>
        <v>0</v>
      </c>
      <c r="Y105" s="243"/>
    </row>
    <row r="106" spans="1:28" ht="15.75" customHeight="1" x14ac:dyDescent="0.3">
      <c r="A106" s="33"/>
      <c r="B106" s="33"/>
      <c r="C106" s="33"/>
      <c r="D106" s="45"/>
      <c r="E106" s="171" t="s">
        <v>128</v>
      </c>
      <c r="F106" s="33"/>
      <c r="G106" s="26"/>
      <c r="H106" s="33"/>
      <c r="I106" s="50">
        <f>I146</f>
        <v>0</v>
      </c>
      <c r="J106" s="50">
        <f t="shared" ref="J106:T106" si="39">J146</f>
        <v>6700</v>
      </c>
      <c r="K106" s="50">
        <f t="shared" si="39"/>
        <v>0</v>
      </c>
      <c r="L106" s="50">
        <f t="shared" si="39"/>
        <v>9500</v>
      </c>
      <c r="M106" s="50">
        <f t="shared" si="39"/>
        <v>0</v>
      </c>
      <c r="N106" s="50">
        <f t="shared" si="39"/>
        <v>3000</v>
      </c>
      <c r="O106" s="50">
        <f t="shared" si="39"/>
        <v>0</v>
      </c>
      <c r="P106" s="50">
        <f t="shared" si="39"/>
        <v>0</v>
      </c>
      <c r="Q106" s="50">
        <f t="shared" si="39"/>
        <v>3500</v>
      </c>
      <c r="R106" s="50">
        <f t="shared" si="39"/>
        <v>0</v>
      </c>
      <c r="S106" s="50">
        <f t="shared" si="39"/>
        <v>0</v>
      </c>
      <c r="T106" s="50">
        <f t="shared" si="39"/>
        <v>4221.2537011572504</v>
      </c>
      <c r="U106" s="70">
        <f t="shared" si="36"/>
        <v>26921.253701157249</v>
      </c>
      <c r="V106" s="50">
        <f>'[2]2021 Forecast'!M106</f>
        <v>0</v>
      </c>
      <c r="W106" s="82">
        <f t="shared" si="38"/>
        <v>26921.253701157249</v>
      </c>
      <c r="Y106" s="243"/>
    </row>
    <row r="107" spans="1:28" ht="15.75" customHeight="1" x14ac:dyDescent="0.3">
      <c r="A107" s="33"/>
      <c r="B107" s="33"/>
      <c r="C107" s="33"/>
      <c r="D107" s="47" t="str">
        <f>'[2]2021 Forecast'!D107</f>
        <v>Total Other Expenses</v>
      </c>
      <c r="E107" s="45"/>
      <c r="F107" s="33"/>
      <c r="G107" s="33"/>
      <c r="H107" s="33"/>
      <c r="I107" s="49">
        <f t="shared" ref="I107:W107" si="40">SUM(I104:I106)</f>
        <v>0</v>
      </c>
      <c r="J107" s="49">
        <f t="shared" si="40"/>
        <v>6700</v>
      </c>
      <c r="K107" s="49">
        <f t="shared" si="40"/>
        <v>0</v>
      </c>
      <c r="L107" s="49">
        <f t="shared" si="40"/>
        <v>9500</v>
      </c>
      <c r="M107" s="49">
        <f t="shared" si="40"/>
        <v>0</v>
      </c>
      <c r="N107" s="49">
        <f t="shared" si="40"/>
        <v>3000</v>
      </c>
      <c r="O107" s="49">
        <f t="shared" si="40"/>
        <v>0</v>
      </c>
      <c r="P107" s="49">
        <f t="shared" si="40"/>
        <v>0</v>
      </c>
      <c r="Q107" s="49">
        <f t="shared" si="40"/>
        <v>3500</v>
      </c>
      <c r="R107" s="49">
        <f t="shared" si="40"/>
        <v>0</v>
      </c>
      <c r="S107" s="49">
        <f t="shared" si="40"/>
        <v>0</v>
      </c>
      <c r="T107" s="49">
        <f t="shared" si="40"/>
        <v>4221.2537011572504</v>
      </c>
      <c r="U107" s="73">
        <f t="shared" si="40"/>
        <v>26921.253701157249</v>
      </c>
      <c r="V107" s="49">
        <f t="shared" si="40"/>
        <v>835.24</v>
      </c>
      <c r="W107" s="85">
        <f t="shared" si="40"/>
        <v>27756.493701157251</v>
      </c>
      <c r="Y107" s="242">
        <f>U107-V107</f>
        <v>26086.013701157248</v>
      </c>
    </row>
    <row r="108" spans="1:28" ht="15.75" customHeight="1" x14ac:dyDescent="0.3">
      <c r="A108" s="33"/>
      <c r="B108" s="33"/>
      <c r="C108" s="33"/>
      <c r="D108" s="45"/>
      <c r="E108" s="45"/>
      <c r="F108" s="33"/>
      <c r="G108" s="33"/>
      <c r="H108" s="3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70"/>
      <c r="V108" s="50"/>
      <c r="W108" s="82"/>
      <c r="Y108" s="244"/>
    </row>
    <row r="109" spans="1:28" ht="15.75" customHeight="1" x14ac:dyDescent="0.3">
      <c r="A109" s="33"/>
      <c r="B109" s="47" t="s">
        <v>108</v>
      </c>
      <c r="C109" s="45"/>
      <c r="D109" s="45"/>
      <c r="E109" s="45"/>
      <c r="F109" s="33"/>
      <c r="G109" s="33"/>
      <c r="H109" s="33"/>
      <c r="I109" s="138">
        <f t="shared" ref="I109:V109" si="41">I100-I107</f>
        <v>14110.898812421934</v>
      </c>
      <c r="J109" s="138">
        <f t="shared" si="41"/>
        <v>-3091.0759295725366</v>
      </c>
      <c r="K109" s="138">
        <f t="shared" si="41"/>
        <v>277.14644270191638</v>
      </c>
      <c r="L109" s="138">
        <f t="shared" si="41"/>
        <v>-9056.1518466020698</v>
      </c>
      <c r="M109" s="138">
        <f t="shared" si="41"/>
        <v>-3528.8167427299541</v>
      </c>
      <c r="N109" s="138">
        <f t="shared" si="41"/>
        <v>-8444.010629702143</v>
      </c>
      <c r="O109" s="138">
        <f t="shared" si="41"/>
        <v>7540.9223217904328</v>
      </c>
      <c r="P109" s="138">
        <f t="shared" si="41"/>
        <v>-1812.7994954073083</v>
      </c>
      <c r="Q109" s="138">
        <f t="shared" si="41"/>
        <v>-4380.6497893628484</v>
      </c>
      <c r="R109" s="138">
        <f t="shared" si="41"/>
        <v>8980.6580942157834</v>
      </c>
      <c r="S109" s="138">
        <f t="shared" si="41"/>
        <v>937.3328643040777</v>
      </c>
      <c r="T109" s="138">
        <f t="shared" si="41"/>
        <v>-564.16723897583415</v>
      </c>
      <c r="U109" s="139">
        <f t="shared" si="41"/>
        <v>969.28686308147007</v>
      </c>
      <c r="V109" s="138">
        <f t="shared" si="41"/>
        <v>19202.444002083332</v>
      </c>
      <c r="W109" s="212">
        <f>W107+W100</f>
        <v>35609.350263312655</v>
      </c>
      <c r="Y109" s="242">
        <f>U109-V109</f>
        <v>-18233.157139001862</v>
      </c>
      <c r="AB109" s="52"/>
    </row>
    <row r="110" spans="1:28" ht="15.75" customHeight="1" x14ac:dyDescent="0.3">
      <c r="A110" s="33"/>
      <c r="B110" s="33"/>
      <c r="C110" s="33"/>
      <c r="D110" s="45"/>
      <c r="E110" s="45"/>
      <c r="F110" s="45"/>
      <c r="G110" s="4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237"/>
      <c r="V110" s="33"/>
      <c r="W110" s="238"/>
      <c r="X110" s="33"/>
      <c r="Y110" s="194"/>
      <c r="Z110" s="33"/>
      <c r="AB110" s="52"/>
    </row>
    <row r="111" spans="1:28" ht="15.75" customHeight="1" x14ac:dyDescent="0.3">
      <c r="A111" s="33"/>
      <c r="B111" s="33"/>
      <c r="C111" s="33"/>
      <c r="D111" s="45"/>
      <c r="E111" s="45"/>
      <c r="F111" s="45"/>
      <c r="G111" s="4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237"/>
      <c r="V111" s="33"/>
      <c r="W111" s="238"/>
      <c r="X111" s="33"/>
      <c r="Y111" s="194"/>
      <c r="Z111" s="33"/>
      <c r="AB111" s="52"/>
    </row>
    <row r="112" spans="1:28" ht="15.75" customHeight="1" x14ac:dyDescent="0.3">
      <c r="A112" s="33"/>
      <c r="B112" s="33"/>
      <c r="C112" s="33" t="s">
        <v>129</v>
      </c>
      <c r="D112" s="45"/>
      <c r="E112" s="45"/>
      <c r="F112" s="45"/>
      <c r="G112" s="45"/>
      <c r="H112" s="33"/>
      <c r="I112" s="50">
        <f>I128</f>
        <v>782.39999210943756</v>
      </c>
      <c r="J112" s="50">
        <f t="shared" ref="J112:T112" si="42">J128</f>
        <v>793.76650896261981</v>
      </c>
      <c r="K112" s="50">
        <f t="shared" si="42"/>
        <v>791.12519952608648</v>
      </c>
      <c r="L112" s="50">
        <f t="shared" si="42"/>
        <v>797.56675089828218</v>
      </c>
      <c r="M112" s="50">
        <f t="shared" si="42"/>
        <v>799.91974425164994</v>
      </c>
      <c r="N112" s="50">
        <f t="shared" si="42"/>
        <v>806.12471426515685</v>
      </c>
      <c r="O112" s="50">
        <f t="shared" si="42"/>
        <v>808.8103475041537</v>
      </c>
      <c r="P112" s="50">
        <f t="shared" si="42"/>
        <v>813.28769049926598</v>
      </c>
      <c r="Q112" s="50">
        <f t="shared" si="42"/>
        <v>819.13305043802416</v>
      </c>
      <c r="R112" s="50">
        <f t="shared" si="42"/>
        <v>822.32430531516889</v>
      </c>
      <c r="S112" s="50">
        <f t="shared" si="42"/>
        <v>827.92657198670202</v>
      </c>
      <c r="T112" s="50">
        <f t="shared" si="42"/>
        <v>831.45962267166135</v>
      </c>
      <c r="U112" s="70">
        <f t="shared" ref="U112" si="43">SUM(I112:T112)</f>
        <v>9693.8444984282087</v>
      </c>
      <c r="V112" s="50">
        <f>'[2]2021 Forecast'!M112</f>
        <v>9077</v>
      </c>
      <c r="W112" s="82">
        <f t="shared" ref="W112" si="44">V112-U112</f>
        <v>-616.84449842820868</v>
      </c>
      <c r="X112" s="33"/>
      <c r="Y112" s="194"/>
      <c r="Z112" s="33"/>
      <c r="AB112" s="52"/>
    </row>
    <row r="113" spans="1:28" ht="15.75" customHeight="1" x14ac:dyDescent="0.3">
      <c r="A113" s="33"/>
      <c r="B113" s="33"/>
      <c r="C113" s="33"/>
      <c r="D113" s="45"/>
      <c r="E113" s="45"/>
      <c r="F113" s="45"/>
      <c r="G113" s="4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237"/>
      <c r="V113" s="33"/>
      <c r="W113" s="256"/>
      <c r="X113" s="33"/>
      <c r="Y113" s="194"/>
      <c r="Z113" s="33"/>
      <c r="AB113" s="52"/>
    </row>
    <row r="114" spans="1:28" ht="15.75" customHeight="1" thickBot="1" x14ac:dyDescent="0.35">
      <c r="A114" s="33"/>
      <c r="B114" s="33"/>
      <c r="C114" s="33"/>
      <c r="D114" s="47" t="s">
        <v>130</v>
      </c>
      <c r="E114" s="45"/>
      <c r="F114" s="45"/>
      <c r="G114" s="45"/>
      <c r="H114" s="33"/>
      <c r="I114" s="252">
        <f>I109-I112</f>
        <v>13328.498820312496</v>
      </c>
      <c r="J114" s="252">
        <f t="shared" ref="J114:V114" si="45">J109-J112</f>
        <v>-3884.8424385351564</v>
      </c>
      <c r="K114" s="252">
        <f t="shared" si="45"/>
        <v>-513.97875682417009</v>
      </c>
      <c r="L114" s="252">
        <f t="shared" si="45"/>
        <v>-9853.7185975003522</v>
      </c>
      <c r="M114" s="252">
        <f t="shared" si="45"/>
        <v>-4328.7364869816038</v>
      </c>
      <c r="N114" s="252">
        <f t="shared" si="45"/>
        <v>-9250.1353439673003</v>
      </c>
      <c r="O114" s="252">
        <f t="shared" si="45"/>
        <v>6732.1119742862793</v>
      </c>
      <c r="P114" s="252">
        <f t="shared" si="45"/>
        <v>-2626.0871859065742</v>
      </c>
      <c r="Q114" s="252">
        <f t="shared" si="45"/>
        <v>-5199.7828398008724</v>
      </c>
      <c r="R114" s="252">
        <f t="shared" si="45"/>
        <v>8158.3337889006143</v>
      </c>
      <c r="S114" s="252">
        <f t="shared" si="45"/>
        <v>109.40629231737569</v>
      </c>
      <c r="T114" s="257">
        <f t="shared" si="45"/>
        <v>-1395.6268616474954</v>
      </c>
      <c r="U114" s="252">
        <f t="shared" si="45"/>
        <v>-8724.5576353467386</v>
      </c>
      <c r="V114" s="252">
        <f t="shared" si="45"/>
        <v>10125.444002083332</v>
      </c>
      <c r="W114" s="255">
        <f t="shared" ref="W114" si="46">U114-V114</f>
        <v>-18850.001637430069</v>
      </c>
      <c r="X114" s="127"/>
      <c r="Y114" s="242">
        <f>U114-V114</f>
        <v>-18850.001637430069</v>
      </c>
      <c r="Z114" s="33"/>
      <c r="AB114" s="52"/>
    </row>
    <row r="115" spans="1:28" ht="15.75" customHeight="1" thickTop="1" x14ac:dyDescent="0.3">
      <c r="A115" s="33"/>
      <c r="B115" s="33"/>
      <c r="C115" s="33"/>
      <c r="D115" s="45"/>
      <c r="E115" s="45"/>
      <c r="F115" s="45"/>
      <c r="G115" s="4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237"/>
      <c r="V115" s="33"/>
      <c r="W115" s="238"/>
      <c r="X115" s="33"/>
      <c r="Y115" s="33"/>
      <c r="Z115" s="33"/>
      <c r="AB115" s="52"/>
    </row>
    <row r="116" spans="1:28" ht="15.75" customHeight="1" x14ac:dyDescent="0.3">
      <c r="A116" s="33"/>
      <c r="B116" s="33"/>
      <c r="C116" s="33"/>
      <c r="D116" s="45"/>
      <c r="E116" s="45"/>
      <c r="F116" s="45"/>
      <c r="G116" s="4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245"/>
      <c r="V116" s="33"/>
      <c r="W116" s="238"/>
      <c r="X116" s="33"/>
      <c r="Y116" s="33"/>
      <c r="Z116" s="33"/>
      <c r="AB116" s="52"/>
    </row>
    <row r="117" spans="1:28" ht="15.75" customHeight="1" x14ac:dyDescent="0.3">
      <c r="A117" s="33"/>
      <c r="B117" s="33"/>
      <c r="C117" s="33"/>
      <c r="D117" s="45"/>
      <c r="E117" s="45"/>
      <c r="F117" s="171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237"/>
      <c r="V117" s="33"/>
      <c r="W117" s="238"/>
      <c r="X117" s="33"/>
      <c r="Y117" s="33"/>
      <c r="Z117" s="33"/>
      <c r="AB117" s="52"/>
    </row>
    <row r="118" spans="1:28" x14ac:dyDescent="0.3">
      <c r="A118" s="128" t="s">
        <v>45</v>
      </c>
      <c r="B118" s="99"/>
      <c r="C118" s="99"/>
      <c r="D118" s="99"/>
      <c r="E118" s="129"/>
      <c r="F118" s="99"/>
      <c r="G118" s="99"/>
      <c r="H118" s="90" t="s">
        <v>125</v>
      </c>
      <c r="I118" s="181" t="str">
        <f t="shared" ref="I118:W118" si="47">I7</f>
        <v>Jan</v>
      </c>
      <c r="J118" s="181" t="str">
        <f t="shared" si="47"/>
        <v>Feb</v>
      </c>
      <c r="K118" s="181" t="str">
        <f t="shared" si="47"/>
        <v>Mar</v>
      </c>
      <c r="L118" s="181" t="str">
        <f t="shared" si="47"/>
        <v>Apr</v>
      </c>
      <c r="M118" s="181" t="str">
        <f t="shared" si="47"/>
        <v>May</v>
      </c>
      <c r="N118" s="181" t="str">
        <f t="shared" si="47"/>
        <v>Jun</v>
      </c>
      <c r="O118" s="181" t="str">
        <f t="shared" si="47"/>
        <v>Jul</v>
      </c>
      <c r="P118" s="181" t="str">
        <f t="shared" si="47"/>
        <v>Aug</v>
      </c>
      <c r="Q118" s="181" t="str">
        <f t="shared" si="47"/>
        <v>Sep</v>
      </c>
      <c r="R118" s="181" t="str">
        <f t="shared" si="47"/>
        <v>Oct</v>
      </c>
      <c r="S118" s="181" t="str">
        <f t="shared" si="47"/>
        <v>Nov</v>
      </c>
      <c r="T118" s="181" t="str">
        <f t="shared" si="47"/>
        <v>Dec</v>
      </c>
      <c r="U118" s="226" t="str">
        <f t="shared" si="47"/>
        <v>TOTAL YR</v>
      </c>
      <c r="V118" s="181" t="str">
        <f t="shared" si="47"/>
        <v>TOTAL YR</v>
      </c>
      <c r="W118" s="234" t="str">
        <f t="shared" si="47"/>
        <v>2022 Budget</v>
      </c>
    </row>
    <row r="119" spans="1:28" x14ac:dyDescent="0.3">
      <c r="A119" s="99"/>
      <c r="B119" s="9" t="s">
        <v>46</v>
      </c>
      <c r="C119" s="99"/>
      <c r="D119" s="99"/>
      <c r="E119" s="99"/>
      <c r="F119" s="99"/>
      <c r="G119" s="99"/>
      <c r="H119" s="179">
        <f>'[2]2021 Forecast'!M118</f>
        <v>13015.176041666668</v>
      </c>
      <c r="I119" s="89">
        <f>I114+H119</f>
        <v>26343.674861979162</v>
      </c>
      <c r="J119" s="89">
        <f t="shared" ref="J119:T119" si="48">J114+I119</f>
        <v>22458.832423444004</v>
      </c>
      <c r="K119" s="89">
        <f t="shared" si="48"/>
        <v>21944.853666619834</v>
      </c>
      <c r="L119" s="89">
        <f t="shared" si="48"/>
        <v>12091.135069119482</v>
      </c>
      <c r="M119" s="89">
        <f t="shared" si="48"/>
        <v>7762.3985821378783</v>
      </c>
      <c r="N119" s="89">
        <f t="shared" si="48"/>
        <v>-1487.736761829422</v>
      </c>
      <c r="O119" s="89">
        <f t="shared" si="48"/>
        <v>5244.3752124568573</v>
      </c>
      <c r="P119" s="89">
        <f t="shared" si="48"/>
        <v>2618.2880265502831</v>
      </c>
      <c r="Q119" s="89">
        <f t="shared" si="48"/>
        <v>-2581.4948132505892</v>
      </c>
      <c r="R119" s="89">
        <f t="shared" si="48"/>
        <v>5576.8389756500255</v>
      </c>
      <c r="S119" s="89">
        <f t="shared" si="48"/>
        <v>5686.2452679674016</v>
      </c>
      <c r="T119" s="89">
        <f t="shared" si="48"/>
        <v>4290.6184063199062</v>
      </c>
      <c r="U119" s="235">
        <f>T119</f>
        <v>4290.6184063199062</v>
      </c>
      <c r="V119" s="173">
        <f>'[2]2021 Forecast'!M118</f>
        <v>13015.176041666668</v>
      </c>
      <c r="W119" s="81">
        <f>U119-V119</f>
        <v>-8724.5576353467623</v>
      </c>
    </row>
    <row r="120" spans="1:28" x14ac:dyDescent="0.3">
      <c r="A120" s="99"/>
      <c r="B120" s="130" t="s">
        <v>77</v>
      </c>
      <c r="C120" s="99"/>
      <c r="D120" s="131"/>
      <c r="E120" s="99"/>
      <c r="F120" s="99"/>
      <c r="G120" s="99"/>
      <c r="H120" s="179">
        <f>'[2]2021 Forecast'!M119</f>
        <v>12346</v>
      </c>
      <c r="I120" s="89">
        <f t="shared" ref="I120:T120" si="49">+H120</f>
        <v>12346</v>
      </c>
      <c r="J120" s="89">
        <f t="shared" si="49"/>
        <v>12346</v>
      </c>
      <c r="K120" s="89">
        <f t="shared" si="49"/>
        <v>12346</v>
      </c>
      <c r="L120" s="89">
        <f t="shared" si="49"/>
        <v>12346</v>
      </c>
      <c r="M120" s="89">
        <f t="shared" si="49"/>
        <v>12346</v>
      </c>
      <c r="N120" s="89">
        <f t="shared" si="49"/>
        <v>12346</v>
      </c>
      <c r="O120" s="89">
        <f t="shared" si="49"/>
        <v>12346</v>
      </c>
      <c r="P120" s="89">
        <f t="shared" si="49"/>
        <v>12346</v>
      </c>
      <c r="Q120" s="89">
        <f t="shared" si="49"/>
        <v>12346</v>
      </c>
      <c r="R120" s="89">
        <f t="shared" si="49"/>
        <v>12346</v>
      </c>
      <c r="S120" s="89">
        <f t="shared" si="49"/>
        <v>12346</v>
      </c>
      <c r="T120" s="89">
        <f t="shared" si="49"/>
        <v>12346</v>
      </c>
      <c r="U120" s="92">
        <f>T120</f>
        <v>12346</v>
      </c>
      <c r="V120" s="89">
        <f>'[2]2021 Forecast'!M119</f>
        <v>12346</v>
      </c>
      <c r="W120" s="81">
        <f>U120-V120</f>
        <v>0</v>
      </c>
    </row>
    <row r="121" spans="1:28" ht="7.5" customHeight="1" x14ac:dyDescent="0.3">
      <c r="A121" s="99"/>
      <c r="B121" s="99"/>
      <c r="C121" s="99"/>
      <c r="D121" s="99"/>
      <c r="E121" s="99"/>
      <c r="F121" s="99"/>
      <c r="G121" s="9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227"/>
      <c r="V121" s="59"/>
      <c r="W121" s="228"/>
    </row>
    <row r="122" spans="1:28" ht="14.4" thickBot="1" x14ac:dyDescent="0.35">
      <c r="A122" s="99"/>
      <c r="B122" s="99"/>
      <c r="C122" s="99"/>
      <c r="D122" s="132"/>
      <c r="E122" s="99"/>
      <c r="F122" s="99"/>
      <c r="G122" s="99"/>
      <c r="H122" s="12">
        <f t="shared" ref="H122:W122" si="50">SUM(H118:H121)</f>
        <v>25361.176041666666</v>
      </c>
      <c r="I122" s="12">
        <f t="shared" si="50"/>
        <v>38689.674861979162</v>
      </c>
      <c r="J122" s="12">
        <f t="shared" si="50"/>
        <v>34804.832423444008</v>
      </c>
      <c r="K122" s="12">
        <f t="shared" si="50"/>
        <v>34290.853666619834</v>
      </c>
      <c r="L122" s="12">
        <f t="shared" si="50"/>
        <v>24437.135069119482</v>
      </c>
      <c r="M122" s="12">
        <f t="shared" si="50"/>
        <v>20108.398582137877</v>
      </c>
      <c r="N122" s="12">
        <f t="shared" si="50"/>
        <v>10858.263238170577</v>
      </c>
      <c r="O122" s="12">
        <f t="shared" si="50"/>
        <v>17590.375212456856</v>
      </c>
      <c r="P122" s="12">
        <f t="shared" si="50"/>
        <v>14964.288026550283</v>
      </c>
      <c r="Q122" s="12">
        <f t="shared" si="50"/>
        <v>9764.5051867494112</v>
      </c>
      <c r="R122" s="12">
        <f t="shared" si="50"/>
        <v>17922.838975650026</v>
      </c>
      <c r="S122" s="12">
        <f t="shared" si="50"/>
        <v>18032.245267967402</v>
      </c>
      <c r="T122" s="12">
        <f t="shared" si="50"/>
        <v>16636.618406319907</v>
      </c>
      <c r="U122" s="94">
        <f t="shared" si="50"/>
        <v>16636.618406319907</v>
      </c>
      <c r="V122" s="12">
        <f t="shared" si="50"/>
        <v>25361.176041666666</v>
      </c>
      <c r="W122" s="229">
        <f t="shared" si="50"/>
        <v>-8724.5576353467623</v>
      </c>
    </row>
    <row r="123" spans="1:28" ht="14.4" thickTop="1" x14ac:dyDescent="0.3">
      <c r="E123" s="99"/>
      <c r="F123" s="99"/>
      <c r="G123" s="99"/>
      <c r="H123" s="1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52">
        <f>H122+U114</f>
        <v>16636.618406319925</v>
      </c>
      <c r="V123" s="236"/>
      <c r="W123" s="96"/>
    </row>
    <row r="124" spans="1:28" x14ac:dyDescent="0.3">
      <c r="H124" s="11"/>
      <c r="I124" s="135"/>
      <c r="U124" s="101">
        <f>U123-U122</f>
        <v>0</v>
      </c>
      <c r="V124" s="101"/>
      <c r="W124" s="5"/>
    </row>
    <row r="125" spans="1:28" x14ac:dyDescent="0.3">
      <c r="U125" s="135"/>
      <c r="V125" s="102"/>
      <c r="W125" s="60"/>
    </row>
    <row r="126" spans="1:28" x14ac:dyDescent="0.3">
      <c r="A126" s="133" t="s">
        <v>80</v>
      </c>
      <c r="I126" s="180" t="s">
        <v>106</v>
      </c>
      <c r="J126" s="166"/>
      <c r="K126" s="166"/>
      <c r="L126" s="166"/>
      <c r="M126" s="166"/>
      <c r="N126" s="166"/>
      <c r="O126" s="167"/>
      <c r="P126" s="168"/>
      <c r="Q126" s="166"/>
      <c r="R126" s="166"/>
      <c r="S126" s="166"/>
      <c r="T126" s="166"/>
      <c r="U126" s="169"/>
      <c r="V126" s="101"/>
      <c r="W126" s="53"/>
    </row>
    <row r="127" spans="1:28" x14ac:dyDescent="0.3">
      <c r="B127" s="25" t="s">
        <v>81</v>
      </c>
      <c r="I127" s="74">
        <f>H132</f>
        <v>13915.09819958546</v>
      </c>
      <c r="J127" s="74">
        <f>I132</f>
        <v>13132.698207476022</v>
      </c>
      <c r="K127" s="74">
        <f>J132</f>
        <v>12338.931698513403</v>
      </c>
      <c r="L127" s="74">
        <f>K132</f>
        <v>11547.806498987316</v>
      </c>
      <c r="M127" s="74">
        <f>L132</f>
        <v>10750.239748089034</v>
      </c>
      <c r="N127" s="74">
        <f t="shared" ref="N127:T127" si="51">M132</f>
        <v>9950.3200038373834</v>
      </c>
      <c r="O127" s="74">
        <f t="shared" si="51"/>
        <v>9144.1952895722261</v>
      </c>
      <c r="P127" s="74">
        <f t="shared" si="51"/>
        <v>8335.3849420680726</v>
      </c>
      <c r="Q127" s="74">
        <f t="shared" si="51"/>
        <v>7522.0972515688063</v>
      </c>
      <c r="R127" s="74">
        <f t="shared" si="51"/>
        <v>6702.9642011307824</v>
      </c>
      <c r="S127" s="74">
        <f t="shared" si="51"/>
        <v>5880.6398958156133</v>
      </c>
      <c r="T127" s="74">
        <f t="shared" si="51"/>
        <v>5052.7133238289116</v>
      </c>
      <c r="U127" s="165">
        <f>H132</f>
        <v>13915.09819958546</v>
      </c>
    </row>
    <row r="128" spans="1:28" x14ac:dyDescent="0.3">
      <c r="C128" s="110" t="s">
        <v>84</v>
      </c>
      <c r="I128" s="50">
        <f t="shared" ref="I128:T128" si="52">I130-I129</f>
        <v>782.39999210943756</v>
      </c>
      <c r="J128" s="50">
        <f t="shared" si="52"/>
        <v>793.76650896261981</v>
      </c>
      <c r="K128" s="50">
        <f t="shared" si="52"/>
        <v>791.12519952608648</v>
      </c>
      <c r="L128" s="50">
        <f t="shared" si="52"/>
        <v>797.56675089828218</v>
      </c>
      <c r="M128" s="50">
        <f t="shared" si="52"/>
        <v>799.91974425164994</v>
      </c>
      <c r="N128" s="50">
        <f t="shared" si="52"/>
        <v>806.12471426515685</v>
      </c>
      <c r="O128" s="50">
        <f t="shared" si="52"/>
        <v>808.8103475041537</v>
      </c>
      <c r="P128" s="50">
        <f t="shared" si="52"/>
        <v>813.28769049926598</v>
      </c>
      <c r="Q128" s="50">
        <f t="shared" si="52"/>
        <v>819.13305043802416</v>
      </c>
      <c r="R128" s="50">
        <f t="shared" si="52"/>
        <v>822.32430531516889</v>
      </c>
      <c r="S128" s="50">
        <f t="shared" si="52"/>
        <v>827.92657198670202</v>
      </c>
      <c r="T128" s="50">
        <f t="shared" si="52"/>
        <v>831.45962267166135</v>
      </c>
      <c r="U128" s="149">
        <f>SUM(I128:T128)</f>
        <v>9693.8444984282087</v>
      </c>
    </row>
    <row r="129" spans="3:27" x14ac:dyDescent="0.3">
      <c r="C129" s="110" t="s">
        <v>83</v>
      </c>
      <c r="F129" s="134"/>
      <c r="G129" s="98">
        <f>'[2]2021 Forecast'!G128</f>
        <v>6.5000000000000002E-2</v>
      </c>
      <c r="H129" s="109"/>
      <c r="I129" s="111">
        <f>($G129*I134/364)*I127</f>
        <v>77.030007890562374</v>
      </c>
      <c r="J129" s="111">
        <f t="shared" ref="J129:T129" si="53">($G129*J134/364)*J127</f>
        <v>65.663491037380112</v>
      </c>
      <c r="K129" s="111">
        <f t="shared" si="53"/>
        <v>68.304800473913488</v>
      </c>
      <c r="L129" s="111">
        <f t="shared" si="53"/>
        <v>61.863249101717777</v>
      </c>
      <c r="M129" s="111">
        <f t="shared" si="53"/>
        <v>59.510255748350012</v>
      </c>
      <c r="N129" s="111">
        <f t="shared" si="53"/>
        <v>53.305285734843132</v>
      </c>
      <c r="O129" s="111">
        <f t="shared" si="53"/>
        <v>50.619652495846253</v>
      </c>
      <c r="P129" s="111">
        <f t="shared" si="53"/>
        <v>46.14230950073398</v>
      </c>
      <c r="Q129" s="111">
        <f t="shared" si="53"/>
        <v>40.296949561975758</v>
      </c>
      <c r="R129" s="111">
        <f t="shared" si="53"/>
        <v>37.105694684831121</v>
      </c>
      <c r="S129" s="111">
        <f t="shared" si="53"/>
        <v>31.503428013297935</v>
      </c>
      <c r="T129" s="111">
        <f t="shared" si="53"/>
        <v>27.970377328338621</v>
      </c>
      <c r="U129" s="151">
        <f>SUM(I129:T129)</f>
        <v>619.31550157179049</v>
      </c>
    </row>
    <row r="130" spans="3:27" x14ac:dyDescent="0.3">
      <c r="D130" s="25" t="s">
        <v>85</v>
      </c>
      <c r="I130" s="50">
        <f>'[2]2021 Forecast'!I129</f>
        <v>859.43</v>
      </c>
      <c r="J130" s="50">
        <f>I130</f>
        <v>859.43</v>
      </c>
      <c r="K130" s="50">
        <f t="shared" ref="K130:T130" si="54">J130</f>
        <v>859.43</v>
      </c>
      <c r="L130" s="50">
        <f t="shared" si="54"/>
        <v>859.43</v>
      </c>
      <c r="M130" s="50">
        <f t="shared" si="54"/>
        <v>859.43</v>
      </c>
      <c r="N130" s="50">
        <f t="shared" si="54"/>
        <v>859.43</v>
      </c>
      <c r="O130" s="50">
        <f t="shared" si="54"/>
        <v>859.43</v>
      </c>
      <c r="P130" s="50">
        <f t="shared" si="54"/>
        <v>859.43</v>
      </c>
      <c r="Q130" s="50">
        <f t="shared" si="54"/>
        <v>859.43</v>
      </c>
      <c r="R130" s="50">
        <f t="shared" si="54"/>
        <v>859.43</v>
      </c>
      <c r="S130" s="50">
        <f t="shared" si="54"/>
        <v>859.43</v>
      </c>
      <c r="T130" s="50">
        <f t="shared" si="54"/>
        <v>859.43</v>
      </c>
      <c r="U130" s="149">
        <f>SUM(I130:T130)</f>
        <v>10313.160000000002</v>
      </c>
      <c r="V130" s="60"/>
      <c r="AA130" s="55"/>
    </row>
    <row r="131" spans="3:27" x14ac:dyDescent="0.3">
      <c r="C131" s="25" t="s">
        <v>82</v>
      </c>
      <c r="H131" s="105"/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0</v>
      </c>
      <c r="T131" s="42">
        <v>0</v>
      </c>
      <c r="U131" s="149">
        <f>SUM(I131:T131)</f>
        <v>0</v>
      </c>
    </row>
    <row r="132" spans="3:27" x14ac:dyDescent="0.3">
      <c r="D132" s="110" t="s">
        <v>86</v>
      </c>
      <c r="H132" s="112">
        <f>'[2]2021 Forecast'!K131*1</f>
        <v>13915.09819958546</v>
      </c>
      <c r="I132" s="49">
        <f>I127+I131-I128</f>
        <v>13132.698207476022</v>
      </c>
      <c r="J132" s="49">
        <f t="shared" ref="J132:U132" si="55">J127+J131-J128</f>
        <v>12338.931698513403</v>
      </c>
      <c r="K132" s="49">
        <f t="shared" si="55"/>
        <v>11547.806498987316</v>
      </c>
      <c r="L132" s="49">
        <f t="shared" si="55"/>
        <v>10750.239748089034</v>
      </c>
      <c r="M132" s="49">
        <f t="shared" si="55"/>
        <v>9950.3200038373834</v>
      </c>
      <c r="N132" s="49">
        <f t="shared" si="55"/>
        <v>9144.1952895722261</v>
      </c>
      <c r="O132" s="49">
        <f t="shared" si="55"/>
        <v>8335.3849420680726</v>
      </c>
      <c r="P132" s="49">
        <f t="shared" si="55"/>
        <v>7522.0972515688063</v>
      </c>
      <c r="Q132" s="49">
        <f t="shared" si="55"/>
        <v>6702.9642011307824</v>
      </c>
      <c r="R132" s="49">
        <f t="shared" si="55"/>
        <v>5880.6398958156133</v>
      </c>
      <c r="S132" s="49">
        <f t="shared" si="55"/>
        <v>5052.7133238289116</v>
      </c>
      <c r="T132" s="49">
        <f t="shared" si="55"/>
        <v>4221.2537011572504</v>
      </c>
      <c r="U132" s="150">
        <f t="shared" si="55"/>
        <v>4221.2537011572513</v>
      </c>
    </row>
    <row r="133" spans="3:27" x14ac:dyDescent="0.3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</row>
    <row r="134" spans="3:27" x14ac:dyDescent="0.3">
      <c r="H134" s="109"/>
      <c r="I134" s="160">
        <v>31</v>
      </c>
      <c r="J134" s="160">
        <v>28</v>
      </c>
      <c r="K134" s="160">
        <v>31</v>
      </c>
      <c r="L134" s="160">
        <v>30</v>
      </c>
      <c r="M134" s="160">
        <v>31</v>
      </c>
      <c r="N134" s="160">
        <v>30</v>
      </c>
      <c r="O134" s="160">
        <v>31</v>
      </c>
      <c r="P134" s="160">
        <v>31</v>
      </c>
      <c r="Q134" s="160">
        <v>30</v>
      </c>
      <c r="R134" s="160">
        <v>31</v>
      </c>
      <c r="S134" s="160">
        <v>30</v>
      </c>
      <c r="T134" s="160">
        <v>31</v>
      </c>
      <c r="U134" s="158"/>
      <c r="V134" s="159"/>
    </row>
    <row r="135" spans="3:27" x14ac:dyDescent="0.3">
      <c r="I135" s="42"/>
      <c r="J135" s="42"/>
      <c r="K135" s="42"/>
      <c r="L135" s="42"/>
      <c r="M135" s="42"/>
      <c r="N135" s="42"/>
      <c r="O135" s="55"/>
      <c r="P135" s="55"/>
    </row>
    <row r="136" spans="3:27" x14ac:dyDescent="0.3">
      <c r="F136" s="156" t="str">
        <f>E106</f>
        <v>2022 - Project Spending - summary</v>
      </c>
      <c r="G136" s="157"/>
      <c r="I136" s="25"/>
    </row>
    <row r="137" spans="3:27" x14ac:dyDescent="0.3">
      <c r="G137" s="258" t="s">
        <v>135</v>
      </c>
      <c r="H137" s="146">
        <f>L137</f>
        <v>0</v>
      </c>
      <c r="I137" s="42">
        <v>0</v>
      </c>
      <c r="J137" s="42">
        <v>0</v>
      </c>
      <c r="K137" s="42">
        <f>12000*0</f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136" t="s">
        <v>134</v>
      </c>
    </row>
    <row r="138" spans="3:27" x14ac:dyDescent="0.3">
      <c r="F138" s="144"/>
      <c r="G138" s="144" t="s">
        <v>132</v>
      </c>
      <c r="H138" s="155">
        <v>0</v>
      </c>
      <c r="I138" s="42">
        <v>0</v>
      </c>
      <c r="J138" s="42">
        <v>0</v>
      </c>
      <c r="K138" s="42">
        <v>0</v>
      </c>
      <c r="L138" s="182">
        <v>6000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136"/>
    </row>
    <row r="139" spans="3:27" x14ac:dyDescent="0.3">
      <c r="G139" s="145" t="s">
        <v>133</v>
      </c>
      <c r="H139" s="155">
        <v>0</v>
      </c>
      <c r="I139" s="42">
        <v>0</v>
      </c>
      <c r="J139" s="182">
        <v>5500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136"/>
    </row>
    <row r="140" spans="3:27" x14ac:dyDescent="0.3">
      <c r="G140" s="144" t="s">
        <v>105</v>
      </c>
      <c r="H140" s="155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182">
        <v>3000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136"/>
    </row>
    <row r="141" spans="3:27" x14ac:dyDescent="0.3">
      <c r="G141" s="144" t="s">
        <v>137</v>
      </c>
      <c r="H141" s="155">
        <v>0</v>
      </c>
      <c r="I141" s="42">
        <v>0</v>
      </c>
      <c r="J141" s="182">
        <v>1200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136"/>
    </row>
    <row r="142" spans="3:27" x14ac:dyDescent="0.3">
      <c r="G142" s="144" t="s">
        <v>138</v>
      </c>
      <c r="H142" s="155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182">
        <v>3500</v>
      </c>
      <c r="R142" s="42">
        <v>0</v>
      </c>
      <c r="S142" s="42">
        <v>0</v>
      </c>
      <c r="T142" s="42">
        <v>0</v>
      </c>
      <c r="U142" s="136"/>
    </row>
    <row r="143" spans="3:27" x14ac:dyDescent="0.3">
      <c r="G143" s="145" t="s">
        <v>136</v>
      </c>
      <c r="H143" s="155">
        <v>0</v>
      </c>
      <c r="I143" s="42">
        <v>0</v>
      </c>
      <c r="J143" s="42">
        <v>0</v>
      </c>
      <c r="K143" s="42">
        <v>0</v>
      </c>
      <c r="L143" s="182">
        <v>3500</v>
      </c>
      <c r="M143" s="42">
        <v>0</v>
      </c>
      <c r="N143" s="42">
        <v>0</v>
      </c>
      <c r="O143" s="42">
        <v>0</v>
      </c>
      <c r="P143" s="42">
        <v>0</v>
      </c>
      <c r="Q143" s="42">
        <f>3500*0</f>
        <v>0</v>
      </c>
      <c r="R143" s="42">
        <v>0</v>
      </c>
      <c r="S143" s="42">
        <v>0</v>
      </c>
      <c r="T143" s="42">
        <v>0</v>
      </c>
      <c r="U143" s="136" t="s">
        <v>134</v>
      </c>
    </row>
    <row r="144" spans="3:27" x14ac:dyDescent="0.3">
      <c r="G144" s="145" t="s">
        <v>131</v>
      </c>
      <c r="H144" s="155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172">
        <f>T132</f>
        <v>4221.2537011572504</v>
      </c>
      <c r="U144" s="136"/>
    </row>
    <row r="145" spans="8:20" ht="7.5" customHeight="1" x14ac:dyDescent="0.3"/>
    <row r="146" spans="8:20" x14ac:dyDescent="0.3">
      <c r="H146" s="49">
        <f t="shared" ref="H146:T146" si="56">SUM(H137:H145)</f>
        <v>0</v>
      </c>
      <c r="I146" s="49">
        <f t="shared" si="56"/>
        <v>0</v>
      </c>
      <c r="J146" s="49">
        <f t="shared" si="56"/>
        <v>6700</v>
      </c>
      <c r="K146" s="49">
        <f t="shared" si="56"/>
        <v>0</v>
      </c>
      <c r="L146" s="49">
        <f t="shared" si="56"/>
        <v>9500</v>
      </c>
      <c r="M146" s="49">
        <f t="shared" si="56"/>
        <v>0</v>
      </c>
      <c r="N146" s="49">
        <f t="shared" si="56"/>
        <v>3000</v>
      </c>
      <c r="O146" s="49">
        <f t="shared" si="56"/>
        <v>0</v>
      </c>
      <c r="P146" s="49">
        <f t="shared" si="56"/>
        <v>0</v>
      </c>
      <c r="Q146" s="49">
        <f t="shared" si="56"/>
        <v>3500</v>
      </c>
      <c r="R146" s="49">
        <f t="shared" si="56"/>
        <v>0</v>
      </c>
      <c r="S146" s="49">
        <f t="shared" si="56"/>
        <v>0</v>
      </c>
      <c r="T146" s="49">
        <f t="shared" si="56"/>
        <v>4221.2537011572504</v>
      </c>
    </row>
    <row r="148" spans="8:20" x14ac:dyDescent="0.3">
      <c r="H148" s="55"/>
    </row>
    <row r="159" spans="8:20" x14ac:dyDescent="0.3">
      <c r="I159" s="25"/>
    </row>
    <row r="160" spans="8:20" x14ac:dyDescent="0.3">
      <c r="I160" s="25"/>
    </row>
    <row r="161" spans="9:9" x14ac:dyDescent="0.3">
      <c r="I161" s="25"/>
    </row>
  </sheetData>
  <pageMargins left="0.25" right="0.25" top="0.75" bottom="0.75" header="0.3" footer="0.3"/>
  <pageSetup paperSize="17" scale="52" orientation="portrait" r:id="rId1"/>
  <headerFooter>
    <oddFooter>&amp;L&amp;D</oddFooter>
  </headerFooter>
  <rowBreaks count="1" manualBreakCount="1">
    <brk id="62" max="23" man="1"/>
  </rowBreaks>
  <colBreaks count="1" manualBreakCount="1">
    <brk id="24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/>
  <dimension ref="A1:AD162"/>
  <sheetViews>
    <sheetView zoomScale="110" zoomScaleNormal="110" workbookViewId="0">
      <pane xSplit="20" ySplit="7" topLeftCell="U106" activePane="bottomRight" state="frozen"/>
      <selection pane="topRight" activeCell="U1" sqref="U1"/>
      <selection pane="bottomLeft" activeCell="A8" sqref="A8"/>
      <selection pane="bottomRight" activeCell="U109" sqref="U109"/>
    </sheetView>
  </sheetViews>
  <sheetFormatPr defaultColWidth="9.109375" defaultRowHeight="13.8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20" width="8.88671875" style="26" customWidth="1" outlineLevel="1"/>
    <col min="21" max="21" width="12.5546875" style="26" customWidth="1"/>
    <col min="22" max="23" width="12.5546875" style="55" customWidth="1"/>
    <col min="24" max="24" width="2.6640625" style="26" customWidth="1"/>
    <col min="25" max="33" width="9.109375" style="26" customWidth="1"/>
    <col min="34" max="16384" width="9.109375" style="26"/>
  </cols>
  <sheetData>
    <row r="1" spans="1:30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0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0"/>
    </row>
    <row r="3" spans="1:30" x14ac:dyDescent="0.3">
      <c r="A3" s="153" t="s">
        <v>176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0"/>
    </row>
    <row r="4" spans="1:30" x14ac:dyDescent="0.3">
      <c r="A4" s="4"/>
      <c r="B4" s="6"/>
      <c r="C4" s="28"/>
      <c r="D4" s="28"/>
      <c r="E4" s="28"/>
      <c r="F4" s="28"/>
      <c r="G4" s="205">
        <v>45242.817207291664</v>
      </c>
      <c r="H4" s="28"/>
      <c r="I4" s="3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6"/>
      <c r="V4" s="75"/>
      <c r="W4" s="230" t="s">
        <v>40</v>
      </c>
      <c r="AA4" s="86"/>
    </row>
    <row r="5" spans="1:30" x14ac:dyDescent="0.3">
      <c r="A5" s="8"/>
      <c r="B5" s="31"/>
      <c r="C5" s="31"/>
      <c r="D5" s="31"/>
      <c r="E5" s="31"/>
      <c r="F5" s="31"/>
      <c r="G5" s="97">
        <f ca="1">NOW()</f>
        <v>45992.636546412039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7">
        <v>2024</v>
      </c>
      <c r="V5" s="88">
        <v>2023</v>
      </c>
      <c r="W5" s="231" t="s">
        <v>177</v>
      </c>
      <c r="X5" s="33"/>
    </row>
    <row r="6" spans="1:30" x14ac:dyDescent="0.3">
      <c r="A6" s="26"/>
      <c r="I6" s="34" t="s">
        <v>41</v>
      </c>
      <c r="J6" s="34" t="s">
        <v>41</v>
      </c>
      <c r="K6" s="34" t="s">
        <v>41</v>
      </c>
      <c r="L6" s="34" t="s">
        <v>41</v>
      </c>
      <c r="M6" s="34" t="s">
        <v>41</v>
      </c>
      <c r="N6" s="34" t="s">
        <v>41</v>
      </c>
      <c r="O6" s="34" t="s">
        <v>41</v>
      </c>
      <c r="P6" s="34" t="s">
        <v>41</v>
      </c>
      <c r="Q6" s="34" t="s">
        <v>41</v>
      </c>
      <c r="R6" s="34" t="s">
        <v>41</v>
      </c>
      <c r="S6" s="34" t="s">
        <v>41</v>
      </c>
      <c r="T6" s="34" t="s">
        <v>41</v>
      </c>
      <c r="U6" s="66" t="s">
        <v>41</v>
      </c>
      <c r="V6" s="37" t="s">
        <v>42</v>
      </c>
      <c r="W6" s="77" t="s">
        <v>43</v>
      </c>
      <c r="X6" s="33"/>
    </row>
    <row r="7" spans="1:30" s="38" customFormat="1" ht="14.4" thickBot="1" x14ac:dyDescent="0.35">
      <c r="A7" s="37"/>
      <c r="B7" s="37"/>
      <c r="C7" s="37"/>
      <c r="D7" s="37"/>
      <c r="E7" s="37"/>
      <c r="F7" s="37"/>
      <c r="G7" s="37"/>
      <c r="H7" s="37"/>
      <c r="I7" s="36" t="s">
        <v>35</v>
      </c>
      <c r="J7" s="36" t="s">
        <v>36</v>
      </c>
      <c r="K7" s="36" t="s">
        <v>37</v>
      </c>
      <c r="L7" s="36" t="s">
        <v>38</v>
      </c>
      <c r="M7" s="36" t="s">
        <v>39</v>
      </c>
      <c r="N7" s="36" t="s">
        <v>49</v>
      </c>
      <c r="O7" s="36" t="s">
        <v>50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68" t="s">
        <v>67</v>
      </c>
      <c r="V7" s="36" t="s">
        <v>67</v>
      </c>
      <c r="W7" s="78" t="s">
        <v>178</v>
      </c>
      <c r="X7" s="37"/>
    </row>
    <row r="8" spans="1:30" ht="15.75" customHeight="1" thickTop="1" x14ac:dyDescent="0.3">
      <c r="A8" s="33"/>
      <c r="B8" s="40" t="str">
        <f>'2023 Forecast'!B8</f>
        <v>Ordinary Income/Expense</v>
      </c>
      <c r="C8" s="33"/>
      <c r="D8" s="33"/>
      <c r="E8" s="33"/>
      <c r="F8" s="33"/>
      <c r="G8" s="33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9"/>
      <c r="V8" s="41"/>
      <c r="W8" s="232"/>
      <c r="X8" s="33"/>
    </row>
    <row r="9" spans="1:30" ht="15.75" customHeight="1" x14ac:dyDescent="0.3">
      <c r="A9" s="33"/>
      <c r="B9" s="33"/>
      <c r="C9" s="127" t="str">
        <f>'2023 Forecast'!C9</f>
        <v>Income</v>
      </c>
      <c r="D9" s="33"/>
      <c r="E9" s="33"/>
      <c r="F9" s="33"/>
      <c r="G9" s="33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25"/>
      <c r="V9" s="24"/>
      <c r="W9" s="233"/>
    </row>
    <row r="10" spans="1:30" ht="15.75" customHeight="1" x14ac:dyDescent="0.3">
      <c r="A10" s="33"/>
      <c r="B10" s="33"/>
      <c r="C10" s="33"/>
      <c r="D10" s="33" t="str">
        <f>'2023 Forecast'!D10</f>
        <v>Dues</v>
      </c>
      <c r="E10" s="33"/>
      <c r="F10" s="33"/>
      <c r="G10" s="33"/>
      <c r="H10" s="118" t="s">
        <v>126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5"/>
      <c r="V10" s="24"/>
      <c r="W10" s="233"/>
      <c r="Z10" s="140"/>
      <c r="AA10" s="140"/>
      <c r="AB10" s="140"/>
      <c r="AC10" s="38"/>
    </row>
    <row r="11" spans="1:30" ht="15.75" customHeight="1" x14ac:dyDescent="0.3">
      <c r="A11" s="33"/>
      <c r="B11" s="33"/>
      <c r="C11" s="33"/>
      <c r="D11" s="33"/>
      <c r="E11" s="136" t="str">
        <f>'2023 Forecast'!E11</f>
        <v>Dues Adjustments</v>
      </c>
      <c r="F11" s="33"/>
      <c r="G11" s="33"/>
      <c r="H11" s="118"/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70">
        <f>SUM(I11:T11)</f>
        <v>0</v>
      </c>
      <c r="V11" s="50">
        <f>'2023 Forecast'!O11</f>
        <v>0</v>
      </c>
      <c r="W11" s="82">
        <f t="shared" ref="W11" si="0">U11-V11</f>
        <v>0</v>
      </c>
      <c r="Z11" s="321" t="s">
        <v>101</v>
      </c>
      <c r="AA11" s="321" t="s">
        <v>102</v>
      </c>
      <c r="AB11" s="321" t="s">
        <v>103</v>
      </c>
      <c r="AC11" s="38"/>
    </row>
    <row r="12" spans="1:30" ht="15.75" customHeight="1" x14ac:dyDescent="0.3">
      <c r="A12" s="33"/>
      <c r="B12" s="33"/>
      <c r="C12" s="33"/>
      <c r="D12" s="33"/>
      <c r="E12" s="33" t="str">
        <f>'2023 Forecast'!E12</f>
        <v>HOA Dues</v>
      </c>
      <c r="F12" s="33"/>
      <c r="G12" s="33"/>
      <c r="H12" s="113">
        <f>'2023 Forecast'!H12*1.045</f>
        <v>99.285449999999997</v>
      </c>
      <c r="I12" s="42">
        <f>(10*$H12*3)+($AB12*$H12)+(2*$H12*12)+146</f>
        <v>14343.81935</v>
      </c>
      <c r="J12" s="42">
        <f>(H12*AB12)+(H12*25)+1000</f>
        <v>12318.541299999999</v>
      </c>
      <c r="K12" s="50">
        <f>J12</f>
        <v>12318.541299999999</v>
      </c>
      <c r="L12" s="42">
        <f>($AA12*$H12*1)+($AB12*$H12)+1500-270</f>
        <v>12647.82675</v>
      </c>
      <c r="M12" s="42">
        <f>($AA12*$H12*1)+($AB12*$H12)</f>
        <v>11417.82675</v>
      </c>
      <c r="N12" s="50">
        <f>M12</f>
        <v>11417.82675</v>
      </c>
      <c r="O12" s="42">
        <f>($AA12*$H12*1)+($AB12*$H12)</f>
        <v>11417.82675</v>
      </c>
      <c r="P12" s="50">
        <f>N12</f>
        <v>11417.82675</v>
      </c>
      <c r="Q12" s="50">
        <f>P12</f>
        <v>11417.82675</v>
      </c>
      <c r="R12" s="42">
        <f>($AA12*$H12*1)+($AB12*$H12)</f>
        <v>11417.82675</v>
      </c>
      <c r="S12" s="50">
        <f>Q12</f>
        <v>11417.82675</v>
      </c>
      <c r="T12" s="50">
        <f>S12</f>
        <v>11417.82675</v>
      </c>
      <c r="U12" s="240">
        <f>SUM(I12:T12)</f>
        <v>142971.34270000004</v>
      </c>
      <c r="V12" s="239">
        <f>'2023 Forecast'!O12</f>
        <v>136814.79</v>
      </c>
      <c r="W12" s="241">
        <f>U12-V12</f>
        <v>6156.5527000000293</v>
      </c>
      <c r="Z12" s="37">
        <f>'2023 Forecast'!U12</f>
        <v>5</v>
      </c>
      <c r="AA12" s="37">
        <f>'2023 Forecast'!V12</f>
        <v>26</v>
      </c>
      <c r="AB12" s="37">
        <f>'2023 Forecast'!W12</f>
        <v>89</v>
      </c>
      <c r="AC12" s="37">
        <f>SUM(Z12:AB12)</f>
        <v>120</v>
      </c>
      <c r="AD12" s="55">
        <f>AC12*H12*12</f>
        <v>142971.04799999998</v>
      </c>
    </row>
    <row r="13" spans="1:30" ht="15.75" customHeight="1" x14ac:dyDescent="0.3">
      <c r="A13" s="33"/>
      <c r="B13" s="33"/>
      <c r="C13" s="33"/>
      <c r="D13" s="33"/>
      <c r="E13" s="33" t="str">
        <f>'2023 Forecast'!E13</f>
        <v>Late Payments (Dues)</v>
      </c>
      <c r="F13" s="33"/>
      <c r="G13" s="33"/>
      <c r="H13" s="154"/>
      <c r="I13" s="42">
        <f>H12*-2</f>
        <v>-198.57089999999999</v>
      </c>
      <c r="J13" s="50">
        <f>I13</f>
        <v>-198.57089999999999</v>
      </c>
      <c r="K13" s="50">
        <f t="shared" ref="K13:T13" si="1">J13</f>
        <v>-198.57089999999999</v>
      </c>
      <c r="L13" s="50">
        <f t="shared" si="1"/>
        <v>-198.57089999999999</v>
      </c>
      <c r="M13" s="50">
        <f t="shared" si="1"/>
        <v>-198.57089999999999</v>
      </c>
      <c r="N13" s="50">
        <f t="shared" si="1"/>
        <v>-198.57089999999999</v>
      </c>
      <c r="O13" s="50">
        <f t="shared" si="1"/>
        <v>-198.57089999999999</v>
      </c>
      <c r="P13" s="50">
        <f t="shared" si="1"/>
        <v>-198.57089999999999</v>
      </c>
      <c r="Q13" s="50">
        <f t="shared" si="1"/>
        <v>-198.57089999999999</v>
      </c>
      <c r="R13" s="50">
        <f t="shared" si="1"/>
        <v>-198.57089999999999</v>
      </c>
      <c r="S13" s="50">
        <f t="shared" si="1"/>
        <v>-198.57089999999999</v>
      </c>
      <c r="T13" s="50">
        <f t="shared" si="1"/>
        <v>-198.57089999999999</v>
      </c>
      <c r="U13" s="70">
        <f>SUM(I13:T13)</f>
        <v>-2382.8507999999997</v>
      </c>
      <c r="V13" s="50">
        <f>'2023 Forecast'!O13</f>
        <v>-2239</v>
      </c>
      <c r="W13" s="82">
        <f t="shared" ref="W13:W20" si="2">U13-V13</f>
        <v>-143.85079999999971</v>
      </c>
      <c r="Y13" s="243" t="s">
        <v>104</v>
      </c>
      <c r="AD13" s="53">
        <f>AD12-U12</f>
        <v>-0.29470000005676411</v>
      </c>
    </row>
    <row r="14" spans="1:30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71"/>
      <c r="V14" s="80"/>
      <c r="W14" s="83"/>
      <c r="Z14" s="116"/>
      <c r="AD14" s="117"/>
    </row>
    <row r="15" spans="1:30" ht="15.75" customHeight="1" x14ac:dyDescent="0.3">
      <c r="A15" s="33"/>
      <c r="B15" s="33"/>
      <c r="C15" s="33"/>
      <c r="D15" s="127" t="str">
        <f>'2023 Forecast'!D15</f>
        <v>Total Dues</v>
      </c>
      <c r="E15" s="33"/>
      <c r="F15" s="33"/>
      <c r="G15" s="33"/>
      <c r="H15" s="33"/>
      <c r="I15" s="44">
        <f>SUM(I10:I14)</f>
        <v>14145.248449999999</v>
      </c>
      <c r="J15" s="44">
        <f t="shared" ref="J15:T15" si="3">SUM(J10:J14)</f>
        <v>12119.970399999998</v>
      </c>
      <c r="K15" s="44">
        <f t="shared" si="3"/>
        <v>12119.970399999998</v>
      </c>
      <c r="L15" s="44">
        <f t="shared" si="3"/>
        <v>12449.25585</v>
      </c>
      <c r="M15" s="44">
        <f t="shared" si="3"/>
        <v>11219.25585</v>
      </c>
      <c r="N15" s="44">
        <f t="shared" si="3"/>
        <v>11219.25585</v>
      </c>
      <c r="O15" s="44">
        <f t="shared" si="3"/>
        <v>11219.25585</v>
      </c>
      <c r="P15" s="44">
        <f t="shared" si="3"/>
        <v>11219.25585</v>
      </c>
      <c r="Q15" s="44">
        <f t="shared" si="3"/>
        <v>11219.25585</v>
      </c>
      <c r="R15" s="44">
        <f t="shared" si="3"/>
        <v>11219.25585</v>
      </c>
      <c r="S15" s="44">
        <f t="shared" si="3"/>
        <v>11219.25585</v>
      </c>
      <c r="T15" s="44">
        <f t="shared" si="3"/>
        <v>11219.25585</v>
      </c>
      <c r="U15" s="72">
        <f t="shared" ref="U15" si="4">SUM(U10:U14)</f>
        <v>140588.49190000005</v>
      </c>
      <c r="V15" s="44">
        <f t="shared" ref="V15:W15" si="5">SUM(V10:V14)</f>
        <v>134575.79</v>
      </c>
      <c r="W15" s="84">
        <f t="shared" si="5"/>
        <v>6012.7019000000291</v>
      </c>
      <c r="Y15" s="242">
        <f>U15-V15</f>
        <v>6012.7019000000437</v>
      </c>
    </row>
    <row r="16" spans="1:30" ht="15.75" customHeight="1" x14ac:dyDescent="0.3">
      <c r="A16" s="33"/>
      <c r="B16" s="33"/>
      <c r="C16" s="33"/>
      <c r="D16" s="33"/>
      <c r="E16" s="33"/>
      <c r="F16" s="33"/>
      <c r="G16" s="45"/>
      <c r="H16" s="33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0"/>
      <c r="V16" s="50"/>
      <c r="W16" s="82"/>
      <c r="X16" s="33"/>
      <c r="Y16" s="243"/>
    </row>
    <row r="17" spans="1:25" ht="15.75" customHeight="1" x14ac:dyDescent="0.3">
      <c r="A17" s="33"/>
      <c r="B17" s="33"/>
      <c r="C17" s="33"/>
      <c r="D17" s="33" t="str">
        <f>'2023 Forecast'!D17</f>
        <v>Interest Income</v>
      </c>
      <c r="E17" s="33"/>
      <c r="F17" s="33"/>
      <c r="G17" s="33"/>
      <c r="H17" s="174">
        <f>'2023 Forecast'!H17</f>
        <v>2.5000000000000001E-3</v>
      </c>
      <c r="I17" s="50">
        <f t="shared" ref="I17:T17" si="6">$H$17*H122</f>
        <v>70.379574664482433</v>
      </c>
      <c r="J17" s="50">
        <f t="shared" si="6"/>
        <v>95.469244726143629</v>
      </c>
      <c r="K17" s="50">
        <f t="shared" si="6"/>
        <v>116.18344383795899</v>
      </c>
      <c r="L17" s="50">
        <f t="shared" si="6"/>
        <v>129.89942844755387</v>
      </c>
      <c r="M17" s="50">
        <f t="shared" si="6"/>
        <v>102.13086664367279</v>
      </c>
      <c r="N17" s="50">
        <f t="shared" si="6"/>
        <v>97.227433435281966</v>
      </c>
      <c r="O17" s="50">
        <f t="shared" si="6"/>
        <v>82.660708310536833</v>
      </c>
      <c r="P17" s="50">
        <f t="shared" si="6"/>
        <v>79.229799706313173</v>
      </c>
      <c r="Q17" s="50">
        <f t="shared" si="6"/>
        <v>76.877930230578954</v>
      </c>
      <c r="R17" s="50">
        <f t="shared" si="6"/>
        <v>81.593364681155407</v>
      </c>
      <c r="S17" s="50">
        <f t="shared" si="6"/>
        <v>67.341087717858287</v>
      </c>
      <c r="T17" s="50">
        <f t="shared" si="6"/>
        <v>54.608180062152933</v>
      </c>
      <c r="U17" s="70">
        <f t="shared" ref="U17:U20" si="7">SUM(I17:T17)</f>
        <v>1053.6010624636895</v>
      </c>
      <c r="V17" s="50">
        <f>'2023 Forecast'!O17</f>
        <v>260.17986579296877</v>
      </c>
      <c r="W17" s="82">
        <f t="shared" si="2"/>
        <v>793.42119667072075</v>
      </c>
      <c r="Y17" s="243"/>
    </row>
    <row r="18" spans="1:25" ht="15.75" customHeight="1" x14ac:dyDescent="0.3">
      <c r="A18" s="33"/>
      <c r="B18" s="33"/>
      <c r="C18" s="33"/>
      <c r="D18" s="33" t="str">
        <f>'2023 Forecast'!D18</f>
        <v>Legal &amp; Violation Fees / Lien Fees Assessed</v>
      </c>
      <c r="E18" s="33"/>
      <c r="F18" s="33"/>
      <c r="G18" s="33"/>
      <c r="H18" s="174"/>
      <c r="I18" s="42">
        <v>0</v>
      </c>
      <c r="J18" s="42">
        <v>100</v>
      </c>
      <c r="K18" s="42">
        <v>0</v>
      </c>
      <c r="L18" s="42">
        <v>100</v>
      </c>
      <c r="M18" s="42">
        <v>0</v>
      </c>
      <c r="N18" s="42">
        <v>100</v>
      </c>
      <c r="O18" s="42">
        <v>0</v>
      </c>
      <c r="P18" s="42">
        <v>100</v>
      </c>
      <c r="Q18" s="42">
        <v>0</v>
      </c>
      <c r="R18" s="42">
        <v>100</v>
      </c>
      <c r="S18" s="42">
        <v>0</v>
      </c>
      <c r="T18" s="42">
        <v>100</v>
      </c>
      <c r="U18" s="70">
        <f t="shared" si="7"/>
        <v>600</v>
      </c>
      <c r="V18" s="50">
        <f>'2023 Forecast'!O18</f>
        <v>0</v>
      </c>
      <c r="W18" s="82">
        <f t="shared" si="2"/>
        <v>600</v>
      </c>
      <c r="Y18" s="243"/>
    </row>
    <row r="19" spans="1:25" ht="15.75" customHeight="1" x14ac:dyDescent="0.3">
      <c r="A19" s="33"/>
      <c r="B19" s="33"/>
      <c r="C19" s="33"/>
      <c r="D19" s="33" t="str">
        <f>'2023 Forecast'!D19</f>
        <v>Transfer Fee/Resale Cert Income</v>
      </c>
      <c r="E19" s="33"/>
      <c r="F19" s="33"/>
      <c r="G19" s="33"/>
      <c r="H19" s="322"/>
      <c r="I19" s="42">
        <v>350</v>
      </c>
      <c r="J19" s="42">
        <v>0</v>
      </c>
      <c r="K19" s="42">
        <v>350</v>
      </c>
      <c r="L19" s="42">
        <v>350</v>
      </c>
      <c r="M19" s="42">
        <v>0</v>
      </c>
      <c r="N19" s="42">
        <v>350</v>
      </c>
      <c r="O19" s="42">
        <v>350</v>
      </c>
      <c r="P19" s="42">
        <v>0</v>
      </c>
      <c r="Q19" s="42">
        <v>350</v>
      </c>
      <c r="R19" s="42">
        <v>350</v>
      </c>
      <c r="S19" s="42">
        <v>0</v>
      </c>
      <c r="T19" s="42">
        <v>0</v>
      </c>
      <c r="U19" s="70">
        <f t="shared" si="7"/>
        <v>2450</v>
      </c>
      <c r="V19" s="50">
        <f>'2023 Forecast'!O19</f>
        <v>3500</v>
      </c>
      <c r="W19" s="82">
        <f t="shared" ref="W19" si="8">U19-V19</f>
        <v>-1050</v>
      </c>
      <c r="Y19" s="243"/>
    </row>
    <row r="20" spans="1:25" ht="15.75" customHeight="1" x14ac:dyDescent="0.3">
      <c r="A20" s="33"/>
      <c r="B20" s="33"/>
      <c r="C20" s="33"/>
      <c r="D20" s="33" t="str">
        <f>'2023 Forecast'!D20</f>
        <v>Miscellaneous Income</v>
      </c>
      <c r="E20" s="33"/>
      <c r="F20" s="33"/>
      <c r="G20" s="33"/>
      <c r="H20" s="33"/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74">
        <f>SUM(I54:N54,I92:N92)/3*1</f>
        <v>182.18666666666664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50">
        <f>SUM(O54:T54,O92:T92)/3*1</f>
        <v>65.52</v>
      </c>
      <c r="U20" s="207">
        <f t="shared" si="7"/>
        <v>247.70666666666665</v>
      </c>
      <c r="V20" s="74">
        <f>'2023 Forecast'!O20</f>
        <v>-185.42000000000002</v>
      </c>
      <c r="W20" s="208">
        <f t="shared" si="2"/>
        <v>433.12666666666667</v>
      </c>
      <c r="Y20" s="243"/>
    </row>
    <row r="21" spans="1:25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46"/>
      <c r="U21" s="70"/>
      <c r="V21" s="50"/>
      <c r="W21" s="82"/>
      <c r="Y21" s="243"/>
    </row>
    <row r="22" spans="1:25" ht="15.75" customHeight="1" x14ac:dyDescent="0.3">
      <c r="A22" s="33"/>
      <c r="B22" s="33"/>
      <c r="C22" s="127" t="str">
        <f>'2023 Forecast'!C22</f>
        <v>Total Income &amp; Dues</v>
      </c>
      <c r="D22" s="33"/>
      <c r="E22" s="33"/>
      <c r="F22" s="33"/>
      <c r="G22" s="33"/>
      <c r="H22" s="33"/>
      <c r="I22" s="44">
        <f t="shared" ref="I22:W22" si="9">SUM(I17:I21)+I15</f>
        <v>14565.628024664482</v>
      </c>
      <c r="J22" s="44">
        <f t="shared" si="9"/>
        <v>12315.439644726142</v>
      </c>
      <c r="K22" s="44">
        <f t="shared" si="9"/>
        <v>12586.153843837958</v>
      </c>
      <c r="L22" s="44">
        <f t="shared" si="9"/>
        <v>13029.155278447553</v>
      </c>
      <c r="M22" s="44">
        <f t="shared" si="9"/>
        <v>11321.386716643672</v>
      </c>
      <c r="N22" s="44">
        <f t="shared" si="9"/>
        <v>11948.669950101948</v>
      </c>
      <c r="O22" s="44">
        <f t="shared" si="9"/>
        <v>11651.916558310537</v>
      </c>
      <c r="P22" s="44">
        <f t="shared" si="9"/>
        <v>11398.485649706312</v>
      </c>
      <c r="Q22" s="44">
        <f t="shared" si="9"/>
        <v>11646.133780230579</v>
      </c>
      <c r="R22" s="44">
        <f t="shared" si="9"/>
        <v>11750.849214681155</v>
      </c>
      <c r="S22" s="44">
        <f t="shared" si="9"/>
        <v>11286.596937717857</v>
      </c>
      <c r="T22" s="44">
        <f t="shared" si="9"/>
        <v>11439.384030062152</v>
      </c>
      <c r="U22" s="72">
        <f t="shared" si="9"/>
        <v>144939.7996291304</v>
      </c>
      <c r="V22" s="44">
        <f t="shared" si="9"/>
        <v>138150.54986579297</v>
      </c>
      <c r="W22" s="84">
        <f t="shared" si="9"/>
        <v>6789.2497633374169</v>
      </c>
      <c r="Y22" s="242">
        <f>U22-V22</f>
        <v>6789.2497633374296</v>
      </c>
    </row>
    <row r="23" spans="1:25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0"/>
      <c r="V23" s="50"/>
      <c r="W23" s="82"/>
      <c r="Y23" s="243"/>
    </row>
    <row r="24" spans="1:25" ht="15.75" customHeight="1" x14ac:dyDescent="0.3">
      <c r="A24" s="33"/>
      <c r="B24" s="33"/>
      <c r="C24" s="127" t="str">
        <f>'2023 Forecast'!C24</f>
        <v>Administrative Expense</v>
      </c>
      <c r="D24" s="33"/>
      <c r="E24" s="33"/>
      <c r="F24" s="33"/>
      <c r="G24" s="33"/>
      <c r="H24" s="33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70"/>
      <c r="V24" s="50"/>
      <c r="W24" s="82"/>
      <c r="Y24" s="243"/>
    </row>
    <row r="25" spans="1:25" ht="15.75" customHeight="1" x14ac:dyDescent="0.3">
      <c r="A25" s="33"/>
      <c r="B25" s="33"/>
      <c r="C25" s="127"/>
      <c r="D25" s="45" t="str">
        <f>'2023 Forecast'!D25</f>
        <v>Bank Service Charges &amp; Fees</v>
      </c>
      <c r="E25" s="33"/>
      <c r="F25" s="33"/>
      <c r="G25" s="33"/>
      <c r="H25" s="33"/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70">
        <f t="shared" ref="U25:U36" si="10">SUM(I25:T25)</f>
        <v>0</v>
      </c>
      <c r="V25" s="50">
        <f>'2023 Forecast'!O25</f>
        <v>-856.37</v>
      </c>
      <c r="W25" s="82">
        <f>V25-U25</f>
        <v>-856.37</v>
      </c>
      <c r="Y25" s="243"/>
    </row>
    <row r="26" spans="1:25" ht="15.75" customHeight="1" x14ac:dyDescent="0.3">
      <c r="A26" s="33"/>
      <c r="B26" s="33"/>
      <c r="C26" s="33"/>
      <c r="D26" s="45" t="str">
        <f>'2023 Forecast'!D26</f>
        <v>Accounting Fees-incl. tax/audit</v>
      </c>
      <c r="E26" s="33"/>
      <c r="F26" s="33"/>
      <c r="G26" s="33"/>
      <c r="H26" s="33"/>
      <c r="I26" s="42">
        <v>357</v>
      </c>
      <c r="J26" s="42">
        <v>357</v>
      </c>
      <c r="K26" s="42">
        <v>357</v>
      </c>
      <c r="L26" s="42">
        <v>357</v>
      </c>
      <c r="M26" s="42">
        <f>357+1203+300</f>
        <v>1860</v>
      </c>
      <c r="N26" s="42">
        <f>357+503</f>
        <v>860</v>
      </c>
      <c r="O26" s="42">
        <v>357</v>
      </c>
      <c r="P26" s="42">
        <v>357</v>
      </c>
      <c r="Q26" s="42">
        <v>357</v>
      </c>
      <c r="R26" s="42">
        <v>357</v>
      </c>
      <c r="S26" s="42">
        <v>357</v>
      </c>
      <c r="T26" s="42">
        <v>357</v>
      </c>
      <c r="U26" s="70">
        <f t="shared" si="10"/>
        <v>6290</v>
      </c>
      <c r="V26" s="50">
        <f>'2023 Forecast'!O26</f>
        <v>6329.5</v>
      </c>
      <c r="W26" s="82">
        <f>V26-U26</f>
        <v>39.5</v>
      </c>
      <c r="X26" s="33"/>
      <c r="Y26" s="243"/>
    </row>
    <row r="27" spans="1:25" ht="15.75" customHeight="1" x14ac:dyDescent="0.3">
      <c r="A27" s="33"/>
      <c r="B27" s="33"/>
      <c r="C27" s="33"/>
      <c r="D27" s="48" t="str">
        <f>'2023 Forecast'!D27</f>
        <v>Benevolence Fund &amp; Donations</v>
      </c>
      <c r="E27" s="33"/>
      <c r="F27" s="33"/>
      <c r="G27" s="33"/>
      <c r="H27" s="33"/>
      <c r="I27" s="42">
        <v>0</v>
      </c>
      <c r="J27" s="42">
        <v>0</v>
      </c>
      <c r="K27" s="42">
        <v>50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50</v>
      </c>
      <c r="R27" s="42">
        <v>0</v>
      </c>
      <c r="S27" s="42">
        <v>0</v>
      </c>
      <c r="T27" s="42">
        <v>100</v>
      </c>
      <c r="U27" s="70">
        <f t="shared" si="10"/>
        <v>200</v>
      </c>
      <c r="V27" s="50">
        <f>'2023 Forecast'!O27</f>
        <v>150</v>
      </c>
      <c r="W27" s="82">
        <f>V27-U27</f>
        <v>-50</v>
      </c>
      <c r="Y27" s="243"/>
    </row>
    <row r="28" spans="1:25" ht="15.75" customHeight="1" x14ac:dyDescent="0.3">
      <c r="A28" s="33"/>
      <c r="B28" s="33"/>
      <c r="C28" s="33"/>
      <c r="D28" s="45" t="str">
        <f>'2023 Forecast'!D28</f>
        <v>Insurance</v>
      </c>
      <c r="E28" s="33"/>
      <c r="F28" s="33"/>
      <c r="G28" s="33"/>
      <c r="H28" s="33"/>
      <c r="I28" s="42">
        <v>0</v>
      </c>
      <c r="J28" s="42">
        <v>0</v>
      </c>
      <c r="K28" s="42">
        <v>0</v>
      </c>
      <c r="L28" s="42">
        <f>4726*1.07</f>
        <v>5056.8200000000006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70">
        <f t="shared" si="10"/>
        <v>5056.8200000000006</v>
      </c>
      <c r="V28" s="50">
        <f>'2023 Forecast'!O28</f>
        <v>4726</v>
      </c>
      <c r="W28" s="82">
        <f t="shared" ref="W28:W36" si="11">V28-U28</f>
        <v>-330.82000000000062</v>
      </c>
      <c r="Y28" s="243"/>
    </row>
    <row r="29" spans="1:25" ht="15.75" customHeight="1" x14ac:dyDescent="0.3">
      <c r="A29" s="33"/>
      <c r="B29" s="33"/>
      <c r="C29" s="33"/>
      <c r="D29" s="33" t="str">
        <f>'2023 Forecast'!D29</f>
        <v>Interest Expense - Loan</v>
      </c>
      <c r="E29" s="33"/>
      <c r="F29" s="33"/>
      <c r="G29" s="33"/>
      <c r="H29" s="33"/>
      <c r="I29" s="50">
        <f>I129</f>
        <v>0</v>
      </c>
      <c r="J29" s="50">
        <f t="shared" ref="J29:T29" si="12">J129</f>
        <v>0</v>
      </c>
      <c r="K29" s="50">
        <f t="shared" si="12"/>
        <v>0</v>
      </c>
      <c r="L29" s="50">
        <f t="shared" si="12"/>
        <v>107.14285714285717</v>
      </c>
      <c r="M29" s="50">
        <f t="shared" si="12"/>
        <v>222.0216836734694</v>
      </c>
      <c r="N29" s="50">
        <f t="shared" si="12"/>
        <v>269.6205243258018</v>
      </c>
      <c r="O29" s="50">
        <f t="shared" si="12"/>
        <v>280.10041732489395</v>
      </c>
      <c r="P29" s="50">
        <f t="shared" si="12"/>
        <v>281.65097320651387</v>
      </c>
      <c r="Q29" s="50">
        <f t="shared" si="12"/>
        <v>274.07430244110827</v>
      </c>
      <c r="R29" s="50">
        <f t="shared" si="12"/>
        <v>284.72730955384895</v>
      </c>
      <c r="S29" s="50">
        <f t="shared" si="12"/>
        <v>277.06788250536698</v>
      </c>
      <c r="T29" s="50">
        <f t="shared" si="12"/>
        <v>232.48010436703387</v>
      </c>
      <c r="U29" s="70">
        <f t="shared" si="10"/>
        <v>2228.8860545408943</v>
      </c>
      <c r="V29" s="50">
        <f>'2023 Forecast'!O29</f>
        <v>89.86</v>
      </c>
      <c r="W29" s="82">
        <f t="shared" si="11"/>
        <v>-2139.0260545408942</v>
      </c>
      <c r="Y29" s="243"/>
    </row>
    <row r="30" spans="1:25" ht="15.75" customHeight="1" x14ac:dyDescent="0.3">
      <c r="A30" s="33"/>
      <c r="B30" s="33"/>
      <c r="C30" s="33"/>
      <c r="D30" s="45" t="str">
        <f>'2023 Forecast'!D30</f>
        <v>Legal Fees - incl. court filings, liens</v>
      </c>
      <c r="E30" s="33"/>
      <c r="F30" s="33"/>
      <c r="G30" s="33"/>
      <c r="H30" s="33"/>
      <c r="I30" s="42">
        <v>0</v>
      </c>
      <c r="J30" s="42">
        <v>0</v>
      </c>
      <c r="K30" s="42">
        <v>300</v>
      </c>
      <c r="L30" s="42">
        <v>0</v>
      </c>
      <c r="M30" s="42">
        <v>0</v>
      </c>
      <c r="N30" s="42">
        <v>1500</v>
      </c>
      <c r="O30" s="42">
        <v>0</v>
      </c>
      <c r="P30" s="42">
        <v>0</v>
      </c>
      <c r="Q30" s="42">
        <v>0</v>
      </c>
      <c r="R30" s="42">
        <v>300</v>
      </c>
      <c r="S30" s="42">
        <v>0</v>
      </c>
      <c r="T30" s="42">
        <v>0</v>
      </c>
      <c r="U30" s="70">
        <f t="shared" si="10"/>
        <v>2100</v>
      </c>
      <c r="V30" s="50">
        <f>'2023 Forecast'!O30</f>
        <v>5</v>
      </c>
      <c r="W30" s="82">
        <f t="shared" si="11"/>
        <v>-2095</v>
      </c>
      <c r="Y30" s="243"/>
    </row>
    <row r="31" spans="1:25" ht="15.75" customHeight="1" x14ac:dyDescent="0.3">
      <c r="A31" s="33"/>
      <c r="B31" s="33"/>
      <c r="C31" s="33"/>
      <c r="D31" s="45" t="str">
        <f>'2023 Forecast'!D31</f>
        <v>Local Taxes</v>
      </c>
      <c r="E31" s="33"/>
      <c r="F31" s="33"/>
      <c r="G31" s="33"/>
      <c r="H31" s="33"/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70">
        <f t="shared" si="10"/>
        <v>0</v>
      </c>
      <c r="V31" s="50">
        <f>'2023 Forecast'!O31</f>
        <v>24.36</v>
      </c>
      <c r="W31" s="82">
        <f t="shared" si="11"/>
        <v>24.36</v>
      </c>
      <c r="Y31" s="243"/>
    </row>
    <row r="32" spans="1:25" ht="15.75" customHeight="1" x14ac:dyDescent="0.3">
      <c r="A32" s="33"/>
      <c r="B32" s="33"/>
      <c r="C32" s="33"/>
      <c r="D32" s="45" t="s">
        <v>145</v>
      </c>
      <c r="E32" s="33"/>
      <c r="F32" s="33"/>
      <c r="G32" s="33"/>
      <c r="H32" s="33"/>
      <c r="I32" s="42">
        <v>0</v>
      </c>
      <c r="J32" s="42">
        <v>100</v>
      </c>
      <c r="K32" s="42">
        <v>0</v>
      </c>
      <c r="L32" s="42">
        <v>100</v>
      </c>
      <c r="M32" s="42">
        <v>0</v>
      </c>
      <c r="N32" s="42">
        <v>0</v>
      </c>
      <c r="O32" s="42">
        <v>100</v>
      </c>
      <c r="P32" s="42">
        <v>0</v>
      </c>
      <c r="Q32" s="42">
        <v>100</v>
      </c>
      <c r="R32" s="42">
        <v>0</v>
      </c>
      <c r="S32" s="42">
        <v>100</v>
      </c>
      <c r="T32" s="42">
        <v>0</v>
      </c>
      <c r="U32" s="70">
        <f t="shared" si="10"/>
        <v>500</v>
      </c>
      <c r="V32" s="50">
        <f>'2023 Forecast'!O32</f>
        <v>418.49</v>
      </c>
      <c r="W32" s="82">
        <f t="shared" si="11"/>
        <v>-81.509999999999991</v>
      </c>
      <c r="Y32" s="243"/>
    </row>
    <row r="33" spans="1:25" ht="15.75" customHeight="1" x14ac:dyDescent="0.3">
      <c r="A33" s="33"/>
      <c r="B33" s="33"/>
      <c r="C33" s="33"/>
      <c r="D33" s="45" t="str">
        <f>'2023 Forecast'!D33</f>
        <v>Postage &amp; PO Box</v>
      </c>
      <c r="E33" s="33"/>
      <c r="F33" s="33"/>
      <c r="G33" s="33"/>
      <c r="H33" s="33"/>
      <c r="I33" s="42">
        <v>0</v>
      </c>
      <c r="J33" s="42">
        <v>0</v>
      </c>
      <c r="K33" s="42">
        <v>0</v>
      </c>
      <c r="L33" s="42">
        <v>50</v>
      </c>
      <c r="M33" s="42">
        <v>0</v>
      </c>
      <c r="N33" s="42">
        <v>0</v>
      </c>
      <c r="O33" s="42">
        <v>0</v>
      </c>
      <c r="P33" s="42">
        <v>50</v>
      </c>
      <c r="Q33" s="42">
        <v>0</v>
      </c>
      <c r="R33" s="42">
        <v>212</v>
      </c>
      <c r="S33" s="42">
        <v>0</v>
      </c>
      <c r="T33" s="42">
        <v>0</v>
      </c>
      <c r="U33" s="70">
        <f t="shared" si="10"/>
        <v>312</v>
      </c>
      <c r="V33" s="50">
        <f>'2023 Forecast'!O33</f>
        <v>226</v>
      </c>
      <c r="W33" s="82">
        <f t="shared" si="11"/>
        <v>-86</v>
      </c>
      <c r="Y33" s="243"/>
    </row>
    <row r="34" spans="1:25" ht="15.75" customHeight="1" x14ac:dyDescent="0.3">
      <c r="A34" s="33"/>
      <c r="B34" s="33"/>
      <c r="C34" s="33"/>
      <c r="D34" s="45" t="str">
        <f>'2023 Forecast'!D34</f>
        <v>Security - Park Patrol</v>
      </c>
      <c r="E34" s="33"/>
      <c r="F34" s="33"/>
      <c r="G34" s="33"/>
      <c r="H34" s="33"/>
      <c r="I34" s="50">
        <f>'Security Patrol'!H7</f>
        <v>600</v>
      </c>
      <c r="J34" s="50">
        <f>'Security Patrol'!I7</f>
        <v>400</v>
      </c>
      <c r="K34" s="50">
        <f>'Security Patrol'!J7</f>
        <v>700</v>
      </c>
      <c r="L34" s="50">
        <f>'Security Patrol'!K7</f>
        <v>800</v>
      </c>
      <c r="M34" s="50">
        <f>'Security Patrol'!L7</f>
        <v>1000</v>
      </c>
      <c r="N34" s="50">
        <f>'Security Patrol'!M7</f>
        <v>800</v>
      </c>
      <c r="O34" s="50">
        <f>'Security Patrol'!N7</f>
        <v>800</v>
      </c>
      <c r="P34" s="50">
        <f>'Security Patrol'!O7</f>
        <v>1000</v>
      </c>
      <c r="Q34" s="50">
        <f>'Security Patrol'!P7</f>
        <v>800</v>
      </c>
      <c r="R34" s="50">
        <f>'Security Patrol'!Q7</f>
        <v>900</v>
      </c>
      <c r="S34" s="50">
        <f>'Security Patrol'!R7</f>
        <v>600</v>
      </c>
      <c r="T34" s="50">
        <f>'Security Patrol'!S7</f>
        <v>600</v>
      </c>
      <c r="U34" s="70">
        <f t="shared" si="10"/>
        <v>9000</v>
      </c>
      <c r="V34" s="50">
        <f>'2023 Forecast'!O34</f>
        <v>10000</v>
      </c>
      <c r="W34" s="82">
        <f t="shared" si="11"/>
        <v>1000</v>
      </c>
      <c r="Y34" s="243"/>
    </row>
    <row r="35" spans="1:25" ht="15.75" customHeight="1" x14ac:dyDescent="0.3">
      <c r="A35" s="33"/>
      <c r="B35" s="33"/>
      <c r="C35" s="33"/>
      <c r="D35" s="33" t="str">
        <f>'2023 Forecast'!D35</f>
        <v>Social Events - incl. food &amp; beverage</v>
      </c>
      <c r="E35" s="33"/>
      <c r="F35" s="33"/>
      <c r="G35" s="33"/>
      <c r="H35" s="114"/>
      <c r="I35" s="42">
        <v>0</v>
      </c>
      <c r="J35" s="42">
        <v>0</v>
      </c>
      <c r="K35" s="42">
        <v>0</v>
      </c>
      <c r="L35" s="42">
        <v>100</v>
      </c>
      <c r="M35" s="42">
        <v>0</v>
      </c>
      <c r="N35" s="42">
        <v>0</v>
      </c>
      <c r="O35" s="42">
        <v>150</v>
      </c>
      <c r="P35" s="42">
        <v>0</v>
      </c>
      <c r="Q35" s="42">
        <v>0</v>
      </c>
      <c r="R35" s="42">
        <v>150</v>
      </c>
      <c r="S35" s="42">
        <v>0</v>
      </c>
      <c r="T35" s="42">
        <v>250</v>
      </c>
      <c r="U35" s="70">
        <f t="shared" si="10"/>
        <v>650</v>
      </c>
      <c r="V35" s="50">
        <f>'2023 Forecast'!O35</f>
        <v>303.52</v>
      </c>
      <c r="W35" s="82">
        <f t="shared" si="11"/>
        <v>-346.48</v>
      </c>
      <c r="Y35" s="243"/>
    </row>
    <row r="36" spans="1:25" ht="15.75" customHeight="1" x14ac:dyDescent="0.3">
      <c r="A36" s="33"/>
      <c r="B36" s="33"/>
      <c r="C36" s="33"/>
      <c r="D36" s="136" t="str">
        <f>'2023 Forecast'!D36</f>
        <v>Web Site Hosting &amp; Domain Name &amp; Maintenance</v>
      </c>
      <c r="E36" s="33"/>
      <c r="F36" s="33"/>
      <c r="G36" s="33"/>
      <c r="H36" s="33"/>
      <c r="I36" s="206">
        <v>0</v>
      </c>
      <c r="J36" s="206">
        <v>0</v>
      </c>
      <c r="K36" s="206">
        <v>320</v>
      </c>
      <c r="L36" s="206">
        <v>950</v>
      </c>
      <c r="M36" s="206">
        <v>0</v>
      </c>
      <c r="N36" s="206">
        <v>0</v>
      </c>
      <c r="O36" s="206">
        <v>0</v>
      </c>
      <c r="P36" s="206">
        <v>0</v>
      </c>
      <c r="Q36" s="206">
        <v>0</v>
      </c>
      <c r="R36" s="206">
        <v>0</v>
      </c>
      <c r="S36" s="206">
        <v>0</v>
      </c>
      <c r="T36" s="206">
        <v>0</v>
      </c>
      <c r="U36" s="207">
        <f t="shared" si="10"/>
        <v>1270</v>
      </c>
      <c r="V36" s="74">
        <f>'2023 Forecast'!O36</f>
        <v>2447.7200000000003</v>
      </c>
      <c r="W36" s="208">
        <f t="shared" si="11"/>
        <v>1177.7200000000003</v>
      </c>
      <c r="Y36" s="243"/>
    </row>
    <row r="37" spans="1:25" ht="15.75" customHeight="1" x14ac:dyDescent="0.3">
      <c r="A37" s="33"/>
      <c r="B37" s="33"/>
      <c r="C37" s="127"/>
      <c r="D37" s="45"/>
      <c r="E37" s="33"/>
      <c r="F37" s="33"/>
      <c r="G37" s="33"/>
      <c r="H37" s="33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70"/>
      <c r="V37" s="50"/>
      <c r="W37" s="82"/>
      <c r="Y37" s="243"/>
    </row>
    <row r="38" spans="1:25" ht="15.75" customHeight="1" x14ac:dyDescent="0.3">
      <c r="A38" s="33"/>
      <c r="B38" s="33"/>
      <c r="C38" s="127" t="str">
        <f>'2023 Forecast'!C38</f>
        <v>Total Administrative Expenses</v>
      </c>
      <c r="D38" s="45"/>
      <c r="E38" s="33"/>
      <c r="F38" s="33"/>
      <c r="G38" s="33"/>
      <c r="H38" s="33"/>
      <c r="I38" s="44">
        <f t="shared" ref="I38:W38" si="13">SUM(I25:I37)</f>
        <v>957</v>
      </c>
      <c r="J38" s="44">
        <f t="shared" si="13"/>
        <v>857</v>
      </c>
      <c r="K38" s="44">
        <f t="shared" si="13"/>
        <v>1727</v>
      </c>
      <c r="L38" s="44">
        <f t="shared" si="13"/>
        <v>7520.9628571428575</v>
      </c>
      <c r="M38" s="44">
        <f t="shared" si="13"/>
        <v>3082.0216836734694</v>
      </c>
      <c r="N38" s="44">
        <f t="shared" si="13"/>
        <v>3429.6205243258019</v>
      </c>
      <c r="O38" s="44">
        <f t="shared" si="13"/>
        <v>1687.1004173248939</v>
      </c>
      <c r="P38" s="44">
        <f t="shared" si="13"/>
        <v>1688.6509732065138</v>
      </c>
      <c r="Q38" s="44">
        <f t="shared" si="13"/>
        <v>1581.0743024411083</v>
      </c>
      <c r="R38" s="44">
        <f t="shared" si="13"/>
        <v>2203.727309553849</v>
      </c>
      <c r="S38" s="44">
        <f t="shared" si="13"/>
        <v>1334.0678825053669</v>
      </c>
      <c r="T38" s="44">
        <f t="shared" si="13"/>
        <v>1539.4801043670338</v>
      </c>
      <c r="U38" s="72">
        <f t="shared" si="13"/>
        <v>27607.706054540893</v>
      </c>
      <c r="V38" s="44">
        <f t="shared" si="13"/>
        <v>23864.080000000005</v>
      </c>
      <c r="W38" s="84">
        <f t="shared" si="13"/>
        <v>-3743.6260545408959</v>
      </c>
      <c r="Y38" s="242">
        <f>V38-U38</f>
        <v>-3743.6260545408877</v>
      </c>
    </row>
    <row r="39" spans="1:25" ht="15.75" customHeight="1" x14ac:dyDescent="0.3">
      <c r="A39" s="33"/>
      <c r="B39" s="33"/>
      <c r="C39" s="127"/>
      <c r="D39" s="45"/>
      <c r="E39" s="33"/>
      <c r="F39" s="33"/>
      <c r="G39" s="33"/>
      <c r="H39" s="33"/>
      <c r="I39" s="33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70"/>
      <c r="V39" s="50"/>
      <c r="W39" s="82"/>
      <c r="Y39" s="243"/>
    </row>
    <row r="40" spans="1:25" ht="15.75" customHeight="1" x14ac:dyDescent="0.3">
      <c r="A40" s="33"/>
      <c r="B40" s="33"/>
      <c r="C40" s="47" t="str">
        <f>'2023 Forecast'!C40</f>
        <v>Maintenance &amp; Repairs</v>
      </c>
      <c r="D40" s="45"/>
      <c r="E40" s="33"/>
      <c r="F40" s="33"/>
      <c r="G40" s="33"/>
      <c r="H40" s="3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0"/>
      <c r="V40" s="50"/>
      <c r="W40" s="82"/>
      <c r="X40" s="33"/>
      <c r="Y40" s="243"/>
    </row>
    <row r="41" spans="1:25" ht="15.75" customHeight="1" x14ac:dyDescent="0.3">
      <c r="A41" s="33"/>
      <c r="B41" s="33"/>
      <c r="C41" s="127"/>
      <c r="D41" s="45" t="str">
        <f>'2023 Forecast'!D41</f>
        <v>Electrical</v>
      </c>
      <c r="E41" s="33"/>
      <c r="F41" s="33"/>
      <c r="G41" s="33"/>
      <c r="H41" s="33"/>
      <c r="I41" s="42">
        <v>0</v>
      </c>
      <c r="J41" s="42">
        <v>0</v>
      </c>
      <c r="K41" s="42">
        <v>750</v>
      </c>
      <c r="L41" s="42">
        <v>500</v>
      </c>
      <c r="M41" s="42">
        <v>0</v>
      </c>
      <c r="N41" s="42">
        <v>1000</v>
      </c>
      <c r="O41" s="42">
        <v>0</v>
      </c>
      <c r="P41" s="42">
        <v>0</v>
      </c>
      <c r="Q41" s="42">
        <v>0</v>
      </c>
      <c r="R41" s="42">
        <v>750</v>
      </c>
      <c r="S41" s="42">
        <v>350</v>
      </c>
      <c r="T41" s="42">
        <v>0</v>
      </c>
      <c r="U41" s="70">
        <f t="shared" ref="U41:U46" si="14">SUM(I41:T41)</f>
        <v>3350</v>
      </c>
      <c r="V41" s="50">
        <f>'2023 Forecast'!O41</f>
        <v>3457.5</v>
      </c>
      <c r="W41" s="82">
        <f t="shared" ref="W41:W46" si="15">V41-U41</f>
        <v>107.5</v>
      </c>
      <c r="Y41" s="243"/>
    </row>
    <row r="42" spans="1:25" ht="15.75" customHeight="1" x14ac:dyDescent="0.3">
      <c r="A42" s="33"/>
      <c r="B42" s="33"/>
      <c r="C42" s="127"/>
      <c r="D42" s="45" t="str">
        <f>'2023 Forecast'!D42</f>
        <v>Fences &amp; Gates</v>
      </c>
      <c r="E42" s="33"/>
      <c r="F42" s="33"/>
      <c r="G42" s="33"/>
      <c r="H42" s="170"/>
      <c r="I42" s="42">
        <v>0</v>
      </c>
      <c r="J42" s="42">
        <v>500</v>
      </c>
      <c r="K42" s="42">
        <v>0</v>
      </c>
      <c r="L42" s="42">
        <v>0</v>
      </c>
      <c r="M42" s="42">
        <v>500</v>
      </c>
      <c r="N42" s="42">
        <v>0</v>
      </c>
      <c r="O42" s="42">
        <v>500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70">
        <f t="shared" si="14"/>
        <v>1500</v>
      </c>
      <c r="V42" s="50">
        <f>'2023 Forecast'!O42</f>
        <v>2341.5</v>
      </c>
      <c r="W42" s="82">
        <f t="shared" si="15"/>
        <v>841.5</v>
      </c>
      <c r="Y42" s="243"/>
    </row>
    <row r="43" spans="1:25" ht="15.75" customHeight="1" x14ac:dyDescent="0.3">
      <c r="A43" s="33"/>
      <c r="B43" s="33"/>
      <c r="C43" s="127"/>
      <c r="D43" s="45" t="str">
        <f>'2023 Forecast'!D43</f>
        <v>Plumbing</v>
      </c>
      <c r="E43" s="33"/>
      <c r="F43" s="33"/>
      <c r="G43" s="33"/>
      <c r="H43" s="170"/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250</v>
      </c>
      <c r="O43" s="42">
        <v>500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70">
        <f t="shared" si="14"/>
        <v>750</v>
      </c>
      <c r="V43" s="50">
        <f>'2023 Forecast'!O43</f>
        <v>807.64</v>
      </c>
      <c r="W43" s="82">
        <f t="shared" si="15"/>
        <v>57.639999999999986</v>
      </c>
      <c r="Y43" s="243"/>
    </row>
    <row r="44" spans="1:25" ht="15.75" customHeight="1" x14ac:dyDescent="0.3">
      <c r="A44" s="33"/>
      <c r="B44" s="33"/>
      <c r="C44" s="127"/>
      <c r="D44" s="45" t="str">
        <f>'2023 Forecast'!D44</f>
        <v>Rear walkways &amp; Common Park walkway</v>
      </c>
      <c r="E44" s="33"/>
      <c r="F44" s="33"/>
      <c r="G44" s="33"/>
      <c r="H44" s="33"/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500</v>
      </c>
      <c r="O44" s="42">
        <v>0</v>
      </c>
      <c r="P44" s="42">
        <v>500</v>
      </c>
      <c r="Q44" s="42">
        <v>0</v>
      </c>
      <c r="R44" s="42">
        <v>500</v>
      </c>
      <c r="S44" s="42">
        <v>0</v>
      </c>
      <c r="T44" s="42">
        <v>0</v>
      </c>
      <c r="U44" s="70">
        <f t="shared" si="14"/>
        <v>1500</v>
      </c>
      <c r="V44" s="50">
        <f>'2023 Forecast'!O44</f>
        <v>1432</v>
      </c>
      <c r="W44" s="82">
        <f t="shared" si="15"/>
        <v>-68</v>
      </c>
      <c r="Y44" s="243"/>
    </row>
    <row r="45" spans="1:25" ht="15.75" customHeight="1" x14ac:dyDescent="0.3">
      <c r="A45" s="33"/>
      <c r="B45" s="33"/>
      <c r="C45" s="127"/>
      <c r="D45" s="45" t="str">
        <f>'2023 Forecast'!D45</f>
        <v>Signs</v>
      </c>
      <c r="E45" s="33"/>
      <c r="F45" s="33"/>
      <c r="G45" s="33"/>
      <c r="H45" s="33"/>
      <c r="I45" s="42">
        <v>0</v>
      </c>
      <c r="J45" s="42">
        <v>0</v>
      </c>
      <c r="K45" s="42">
        <v>150</v>
      </c>
      <c r="L45" s="42">
        <v>0</v>
      </c>
      <c r="M45" s="42">
        <v>0</v>
      </c>
      <c r="N45" s="42">
        <v>300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70">
        <f t="shared" ref="U45" si="16">SUM(I45:T45)</f>
        <v>450</v>
      </c>
      <c r="V45" s="50">
        <f>'2023 Forecast'!O45</f>
        <v>0</v>
      </c>
      <c r="W45" s="82">
        <f t="shared" ref="W45" si="17">V45-U45</f>
        <v>-450</v>
      </c>
      <c r="Y45" s="243"/>
    </row>
    <row r="46" spans="1:25" ht="15.75" customHeight="1" x14ac:dyDescent="0.3">
      <c r="A46" s="33"/>
      <c r="B46" s="33"/>
      <c r="C46" s="127"/>
      <c r="D46" s="45" t="str">
        <f>'2023 Forecast'!D46</f>
        <v>Tennis &amp; Basketball Courts</v>
      </c>
      <c r="E46" s="33"/>
      <c r="F46" s="33"/>
      <c r="G46" s="33"/>
      <c r="H46" s="33"/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500</v>
      </c>
      <c r="O46" s="42">
        <v>250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207">
        <f t="shared" si="14"/>
        <v>750</v>
      </c>
      <c r="V46" s="74">
        <f>'2023 Forecast'!O46</f>
        <v>0</v>
      </c>
      <c r="W46" s="208">
        <f t="shared" si="15"/>
        <v>-750</v>
      </c>
      <c r="Y46" s="243"/>
    </row>
    <row r="47" spans="1:25" ht="15.75" customHeight="1" x14ac:dyDescent="0.3">
      <c r="A47" s="33"/>
      <c r="B47" s="33"/>
      <c r="C47" s="127"/>
      <c r="D47" s="45"/>
      <c r="E47" s="33"/>
      <c r="F47" s="33"/>
      <c r="G47" s="33"/>
      <c r="H47" s="33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46"/>
      <c r="U47" s="70"/>
      <c r="V47" s="50"/>
      <c r="W47" s="82"/>
      <c r="Y47" s="243"/>
    </row>
    <row r="48" spans="1:25" ht="15.75" customHeight="1" x14ac:dyDescent="0.3">
      <c r="A48" s="33"/>
      <c r="B48" s="33"/>
      <c r="C48" s="127" t="str">
        <f>'2023 Forecast'!C48</f>
        <v>Total Maintenance &amp; repairs</v>
      </c>
      <c r="D48" s="45"/>
      <c r="E48" s="33"/>
      <c r="F48" s="33"/>
      <c r="G48" s="33"/>
      <c r="H48" s="33"/>
      <c r="I48" s="44">
        <f t="shared" ref="I48:W48" si="18">SUM(I41:I47)</f>
        <v>0</v>
      </c>
      <c r="J48" s="44">
        <f t="shared" si="18"/>
        <v>500</v>
      </c>
      <c r="K48" s="44">
        <f t="shared" si="18"/>
        <v>900</v>
      </c>
      <c r="L48" s="44">
        <f t="shared" si="18"/>
        <v>500</v>
      </c>
      <c r="M48" s="44">
        <f t="shared" si="18"/>
        <v>500</v>
      </c>
      <c r="N48" s="44">
        <f t="shared" si="18"/>
        <v>2550</v>
      </c>
      <c r="O48" s="44">
        <f t="shared" si="18"/>
        <v>1250</v>
      </c>
      <c r="P48" s="44">
        <f t="shared" si="18"/>
        <v>500</v>
      </c>
      <c r="Q48" s="44">
        <f t="shared" si="18"/>
        <v>0</v>
      </c>
      <c r="R48" s="44">
        <f t="shared" si="18"/>
        <v>1250</v>
      </c>
      <c r="S48" s="44">
        <f t="shared" si="18"/>
        <v>350</v>
      </c>
      <c r="T48" s="250">
        <f t="shared" si="18"/>
        <v>0</v>
      </c>
      <c r="U48" s="72">
        <f t="shared" si="18"/>
        <v>8300</v>
      </c>
      <c r="V48" s="44">
        <f t="shared" si="18"/>
        <v>8038.64</v>
      </c>
      <c r="W48" s="84">
        <f t="shared" si="18"/>
        <v>-261.36</v>
      </c>
      <c r="Y48" s="242">
        <f>V48-U48</f>
        <v>-261.35999999999967</v>
      </c>
    </row>
    <row r="49" spans="1:27" ht="15.75" customHeight="1" x14ac:dyDescent="0.3">
      <c r="A49" s="33"/>
      <c r="B49" s="33"/>
      <c r="C49" s="127"/>
      <c r="D49" s="45"/>
      <c r="E49" s="33"/>
      <c r="F49" s="33"/>
      <c r="G49" s="33"/>
      <c r="H49" s="33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70"/>
      <c r="V49" s="50"/>
      <c r="W49" s="82"/>
      <c r="Y49" s="243"/>
    </row>
    <row r="50" spans="1:27" ht="15.75" customHeight="1" x14ac:dyDescent="0.3">
      <c r="A50" s="33"/>
      <c r="B50" s="33"/>
      <c r="C50" s="47" t="str">
        <f>'2023 Forecast'!C50</f>
        <v>Parks &amp; Grounds</v>
      </c>
      <c r="D50" s="45"/>
      <c r="E50" s="33"/>
      <c r="F50" s="33"/>
      <c r="G50" s="33"/>
      <c r="H50" s="33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70"/>
      <c r="V50" s="50"/>
      <c r="W50" s="82"/>
      <c r="Y50" s="243"/>
    </row>
    <row r="51" spans="1:27" ht="15.75" customHeight="1" x14ac:dyDescent="0.3">
      <c r="A51" s="33"/>
      <c r="B51" s="33"/>
      <c r="C51" s="45"/>
      <c r="D51" s="45" t="str">
        <f>'2023 Forecast'!D51</f>
        <v>Keys &amp; Locksmith</v>
      </c>
      <c r="E51" s="33"/>
      <c r="F51" s="33"/>
      <c r="G51" s="33"/>
      <c r="H51" s="33"/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250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70">
        <f t="shared" ref="U51:U58" si="19">SUM(I51:T51)</f>
        <v>250</v>
      </c>
      <c r="V51" s="50">
        <f>'2023 Forecast'!O51</f>
        <v>0</v>
      </c>
      <c r="W51" s="82">
        <f t="shared" ref="W51:W58" si="20">V51-U51</f>
        <v>-250</v>
      </c>
      <c r="Y51" s="243"/>
    </row>
    <row r="52" spans="1:27" ht="15.75" customHeight="1" x14ac:dyDescent="0.3">
      <c r="A52" s="33"/>
      <c r="B52" s="33"/>
      <c r="C52" s="45"/>
      <c r="D52" s="48" t="str">
        <f>'2023 Forecast'!D52</f>
        <v>Landscaping (walkways &amp; shrubs)</v>
      </c>
      <c r="E52" s="33"/>
      <c r="F52" s="33"/>
      <c r="G52" s="33"/>
      <c r="H52" s="33"/>
      <c r="I52" s="42">
        <v>0</v>
      </c>
      <c r="J52" s="42">
        <v>0</v>
      </c>
      <c r="K52" s="42">
        <v>0</v>
      </c>
      <c r="L52" s="42">
        <v>0</v>
      </c>
      <c r="M52" s="42">
        <v>500</v>
      </c>
      <c r="N52" s="42">
        <v>0</v>
      </c>
      <c r="O52" s="42">
        <v>0</v>
      </c>
      <c r="P52" s="42">
        <v>500</v>
      </c>
      <c r="Q52" s="42">
        <v>0</v>
      </c>
      <c r="R52" s="42">
        <v>500</v>
      </c>
      <c r="S52" s="42">
        <v>0</v>
      </c>
      <c r="T52" s="42">
        <v>0</v>
      </c>
      <c r="U52" s="70">
        <f t="shared" si="19"/>
        <v>1500</v>
      </c>
      <c r="V52" s="50">
        <f>'2023 Forecast'!O52</f>
        <v>850</v>
      </c>
      <c r="W52" s="82">
        <f t="shared" si="20"/>
        <v>-650</v>
      </c>
      <c r="Y52" s="243"/>
    </row>
    <row r="53" spans="1:27" ht="15.75" customHeight="1" x14ac:dyDescent="0.3">
      <c r="A53" s="33"/>
      <c r="B53" s="33"/>
      <c r="C53" s="45"/>
      <c r="D53" s="45" t="str">
        <f>'2023 Forecast'!D53</f>
        <v>Lawn Mowing Service</v>
      </c>
      <c r="E53" s="33"/>
      <c r="F53" s="33"/>
      <c r="G53" s="33"/>
      <c r="H53" s="33"/>
      <c r="I53" s="42">
        <v>0</v>
      </c>
      <c r="J53" s="42">
        <v>850</v>
      </c>
      <c r="K53" s="42">
        <f>850*2</f>
        <v>1700</v>
      </c>
      <c r="L53" s="42">
        <f>K53</f>
        <v>1700</v>
      </c>
      <c r="M53" s="42">
        <f>L53</f>
        <v>1700</v>
      </c>
      <c r="N53" s="42">
        <f>J53*3</f>
        <v>2550</v>
      </c>
      <c r="O53" s="42">
        <f>N53</f>
        <v>2550</v>
      </c>
      <c r="P53" s="42">
        <f>850*2</f>
        <v>1700</v>
      </c>
      <c r="Q53" s="42">
        <f>P53</f>
        <v>1700</v>
      </c>
      <c r="R53" s="42">
        <f>Q53</f>
        <v>1700</v>
      </c>
      <c r="S53" s="42">
        <v>850</v>
      </c>
      <c r="T53" s="42">
        <f>850</f>
        <v>850</v>
      </c>
      <c r="U53" s="70">
        <f t="shared" si="19"/>
        <v>17850</v>
      </c>
      <c r="V53" s="50">
        <f>'2023 Forecast'!O53</f>
        <v>18459.43</v>
      </c>
      <c r="W53" s="82">
        <f t="shared" si="20"/>
        <v>609.43000000000029</v>
      </c>
      <c r="Y53" s="243"/>
    </row>
    <row r="54" spans="1:27" ht="15.75" customHeight="1" x14ac:dyDescent="0.3">
      <c r="A54" s="33"/>
      <c r="B54" s="33"/>
      <c r="C54" s="45"/>
      <c r="D54" s="33" t="str">
        <f>'2023 Forecast'!D54</f>
        <v>Misc. Arapaho Median</v>
      </c>
      <c r="E54" s="33"/>
      <c r="F54" s="33"/>
      <c r="G54" s="33"/>
      <c r="H54" s="33"/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350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70">
        <f t="shared" si="19"/>
        <v>350</v>
      </c>
      <c r="V54" s="50">
        <f>'2023 Forecast'!O54</f>
        <v>0</v>
      </c>
      <c r="W54" s="82">
        <f t="shared" si="20"/>
        <v>-350</v>
      </c>
      <c r="Y54" s="243"/>
    </row>
    <row r="55" spans="1:27" ht="15.75" customHeight="1" x14ac:dyDescent="0.3">
      <c r="A55" s="33"/>
      <c r="B55" s="33"/>
      <c r="C55" s="45"/>
      <c r="D55" s="45" t="str">
        <f>'2023 Forecast'!D55</f>
        <v>Misc. P&amp;G</v>
      </c>
      <c r="E55" s="33"/>
      <c r="F55" s="33"/>
      <c r="G55" s="33"/>
      <c r="H55" s="33"/>
      <c r="I55" s="42">
        <v>0</v>
      </c>
      <c r="J55" s="42">
        <v>0</v>
      </c>
      <c r="K55" s="42">
        <v>0</v>
      </c>
      <c r="L55" s="42">
        <v>0</v>
      </c>
      <c r="M55" s="42">
        <v>750</v>
      </c>
      <c r="N55" s="42">
        <v>0</v>
      </c>
      <c r="O55" s="42">
        <v>0</v>
      </c>
      <c r="P55" s="42">
        <v>500</v>
      </c>
      <c r="Q55" s="42">
        <v>0</v>
      </c>
      <c r="R55" s="42">
        <v>0</v>
      </c>
      <c r="S55" s="42">
        <v>0</v>
      </c>
      <c r="T55" s="42">
        <v>0</v>
      </c>
      <c r="U55" s="70">
        <f t="shared" si="19"/>
        <v>1250</v>
      </c>
      <c r="V55" s="50">
        <f>'2023 Forecast'!O55</f>
        <v>455</v>
      </c>
      <c r="W55" s="82">
        <f t="shared" si="20"/>
        <v>-795</v>
      </c>
      <c r="X55" s="33"/>
      <c r="Y55" s="243"/>
      <c r="Z55" s="33"/>
      <c r="AA55" s="33"/>
    </row>
    <row r="56" spans="1:27" ht="15.75" customHeight="1" x14ac:dyDescent="0.3">
      <c r="A56" s="33"/>
      <c r="B56" s="33"/>
      <c r="C56" s="45"/>
      <c r="D56" s="45" t="str">
        <f>'2023 Forecast'!D56</f>
        <v>Tree Trimming</v>
      </c>
      <c r="E56" s="33"/>
      <c r="F56" s="33"/>
      <c r="G56" s="33"/>
      <c r="H56" s="33"/>
      <c r="I56" s="42">
        <v>1500</v>
      </c>
      <c r="J56" s="42">
        <v>0</v>
      </c>
      <c r="K56" s="42">
        <v>0</v>
      </c>
      <c r="L56" s="42">
        <v>1500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2500</v>
      </c>
      <c r="S56" s="42">
        <v>1500</v>
      </c>
      <c r="T56" s="42">
        <v>0</v>
      </c>
      <c r="U56" s="70">
        <f t="shared" si="19"/>
        <v>7000</v>
      </c>
      <c r="V56" s="50">
        <f>'2023 Forecast'!O56</f>
        <v>7884.65</v>
      </c>
      <c r="W56" s="82">
        <f t="shared" si="20"/>
        <v>884.64999999999964</v>
      </c>
      <c r="Y56" s="243"/>
    </row>
    <row r="57" spans="1:27" ht="15.75" customHeight="1" x14ac:dyDescent="0.3">
      <c r="A57" s="33"/>
      <c r="B57" s="33"/>
      <c r="C57" s="45"/>
      <c r="D57" s="45" t="s">
        <v>144</v>
      </c>
      <c r="E57" s="33"/>
      <c r="F57" s="33"/>
      <c r="G57" s="33"/>
      <c r="H57" s="33"/>
      <c r="I57" s="42">
        <v>0</v>
      </c>
      <c r="J57" s="42">
        <v>0</v>
      </c>
      <c r="K57" s="42">
        <v>250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500</v>
      </c>
      <c r="S57" s="42">
        <v>0</v>
      </c>
      <c r="T57" s="42">
        <v>0</v>
      </c>
      <c r="U57" s="70">
        <f t="shared" ref="U57" si="21">SUM(I57:T57)</f>
        <v>750</v>
      </c>
      <c r="V57" s="50">
        <f>'2023 Forecast'!O57</f>
        <v>281.45</v>
      </c>
      <c r="W57" s="82">
        <f t="shared" ref="W57" si="22">V57-U57</f>
        <v>-468.55</v>
      </c>
      <c r="Y57" s="243"/>
    </row>
    <row r="58" spans="1:27" ht="15.75" customHeight="1" x14ac:dyDescent="0.3">
      <c r="A58" s="33"/>
      <c r="B58" s="33"/>
      <c r="C58" s="45"/>
      <c r="D58" s="33" t="str">
        <f>'2023 Forecast'!D58</f>
        <v>Sprinkler Repair</v>
      </c>
      <c r="E58" s="33"/>
      <c r="F58" s="33"/>
      <c r="G58" s="33"/>
      <c r="H58" s="33"/>
      <c r="I58" s="206">
        <v>0</v>
      </c>
      <c r="J58" s="206">
        <v>0</v>
      </c>
      <c r="K58" s="206">
        <v>0</v>
      </c>
      <c r="L58" s="206">
        <v>1500</v>
      </c>
      <c r="M58" s="206">
        <v>0</v>
      </c>
      <c r="N58" s="206">
        <v>1000</v>
      </c>
      <c r="O58" s="206">
        <v>0</v>
      </c>
      <c r="P58" s="206">
        <v>0</v>
      </c>
      <c r="Q58" s="206">
        <v>1000</v>
      </c>
      <c r="R58" s="206">
        <v>0</v>
      </c>
      <c r="S58" s="206">
        <v>0</v>
      </c>
      <c r="T58" s="206">
        <v>0</v>
      </c>
      <c r="U58" s="207">
        <f t="shared" si="19"/>
        <v>3500</v>
      </c>
      <c r="V58" s="74">
        <f>'2023 Forecast'!O58</f>
        <v>3660.58</v>
      </c>
      <c r="W58" s="208">
        <f t="shared" si="20"/>
        <v>160.57999999999993</v>
      </c>
      <c r="Y58" s="243"/>
    </row>
    <row r="59" spans="1:27" ht="15.75" customHeight="1" x14ac:dyDescent="0.3">
      <c r="A59" s="33"/>
      <c r="B59" s="33"/>
      <c r="C59" s="45"/>
      <c r="D59" s="45"/>
      <c r="E59" s="33"/>
      <c r="F59" s="33"/>
      <c r="G59" s="33"/>
      <c r="H59" s="33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70"/>
      <c r="V59" s="50"/>
      <c r="W59" s="82"/>
      <c r="Y59" s="243"/>
    </row>
    <row r="60" spans="1:27" ht="15.75" customHeight="1" x14ac:dyDescent="0.3">
      <c r="A60" s="33"/>
      <c r="B60" s="33"/>
      <c r="C60" s="47" t="str">
        <f>'2023 Forecast'!C60</f>
        <v>Total Parks &amp; Grounds</v>
      </c>
      <c r="D60" s="45"/>
      <c r="E60" s="33"/>
      <c r="F60" s="33"/>
      <c r="G60" s="33"/>
      <c r="H60" s="33"/>
      <c r="I60" s="44">
        <f>SUM(I51:I59)</f>
        <v>1500</v>
      </c>
      <c r="J60" s="44">
        <f t="shared" ref="J60:T60" si="23">SUM(J51:J59)</f>
        <v>850</v>
      </c>
      <c r="K60" s="44">
        <f t="shared" si="23"/>
        <v>1950</v>
      </c>
      <c r="L60" s="44">
        <f t="shared" si="23"/>
        <v>4700</v>
      </c>
      <c r="M60" s="44">
        <f t="shared" si="23"/>
        <v>2950</v>
      </c>
      <c r="N60" s="44">
        <f t="shared" si="23"/>
        <v>4150</v>
      </c>
      <c r="O60" s="44">
        <f t="shared" si="23"/>
        <v>2550</v>
      </c>
      <c r="P60" s="44">
        <f t="shared" si="23"/>
        <v>2700</v>
      </c>
      <c r="Q60" s="44">
        <f t="shared" si="23"/>
        <v>2700</v>
      </c>
      <c r="R60" s="44">
        <f t="shared" si="23"/>
        <v>5200</v>
      </c>
      <c r="S60" s="44">
        <f t="shared" si="23"/>
        <v>2350</v>
      </c>
      <c r="T60" s="44">
        <f t="shared" si="23"/>
        <v>850</v>
      </c>
      <c r="U60" s="72">
        <f t="shared" ref="U60" si="24">SUM(U51:U59)</f>
        <v>32450</v>
      </c>
      <c r="V60" s="44">
        <f t="shared" ref="V60:W60" si="25">SUM(V51:V59)</f>
        <v>31591.11</v>
      </c>
      <c r="W60" s="84">
        <f t="shared" si="25"/>
        <v>-858.8900000000001</v>
      </c>
      <c r="Y60" s="242">
        <f>V60-U60</f>
        <v>-858.88999999999942</v>
      </c>
    </row>
    <row r="61" spans="1:27" ht="15.75" customHeight="1" x14ac:dyDescent="0.3">
      <c r="A61" s="33"/>
      <c r="B61" s="33"/>
      <c r="C61" s="127"/>
      <c r="D61" s="45"/>
      <c r="E61" s="33"/>
      <c r="F61" s="33"/>
      <c r="G61" s="33"/>
      <c r="H61" s="33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70"/>
      <c r="V61" s="50"/>
      <c r="W61" s="82"/>
      <c r="Y61" s="243"/>
    </row>
    <row r="62" spans="1:27" ht="15.75" customHeight="1" x14ac:dyDescent="0.3">
      <c r="A62" s="33"/>
      <c r="B62" s="33"/>
      <c r="C62" s="47" t="str">
        <f>'2023 Forecast'!C62</f>
        <v>Pool Expense</v>
      </c>
      <c r="D62" s="45"/>
      <c r="E62" s="33"/>
      <c r="F62" s="33"/>
      <c r="G62" s="33"/>
      <c r="H62" s="3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0"/>
      <c r="V62" s="50"/>
      <c r="W62" s="82"/>
      <c r="Y62" s="243"/>
    </row>
    <row r="63" spans="1:27" ht="15.75" customHeight="1" x14ac:dyDescent="0.3">
      <c r="A63" s="33"/>
      <c r="B63" s="33"/>
      <c r="C63" s="33"/>
      <c r="D63" s="45" t="str">
        <f>'2023 Forecast'!D63</f>
        <v>Chemicals</v>
      </c>
      <c r="E63" s="33"/>
      <c r="F63" s="33"/>
      <c r="G63" s="33"/>
      <c r="H63" s="33"/>
      <c r="I63" s="42">
        <v>0</v>
      </c>
      <c r="J63" s="42">
        <v>0</v>
      </c>
      <c r="K63" s="42">
        <v>0</v>
      </c>
      <c r="L63" s="42">
        <v>0</v>
      </c>
      <c r="M63" s="42">
        <v>600</v>
      </c>
      <c r="N63" s="42">
        <v>200</v>
      </c>
      <c r="O63" s="42">
        <v>600</v>
      </c>
      <c r="P63" s="42">
        <v>600</v>
      </c>
      <c r="Q63" s="42">
        <v>0</v>
      </c>
      <c r="R63" s="42">
        <v>0</v>
      </c>
      <c r="S63" s="42">
        <v>0</v>
      </c>
      <c r="T63" s="42">
        <v>250</v>
      </c>
      <c r="U63" s="70">
        <f t="shared" ref="U63:U64" si="26">SUM(I63:T63)</f>
        <v>2250</v>
      </c>
      <c r="V63" s="50">
        <f>'2023 Forecast'!O63</f>
        <v>1841.7</v>
      </c>
      <c r="W63" s="82">
        <f t="shared" ref="W63:W69" si="27">V63-U63</f>
        <v>-408.29999999999995</v>
      </c>
      <c r="Y63" s="243"/>
    </row>
    <row r="64" spans="1:27" ht="15.75" customHeight="1" x14ac:dyDescent="0.3">
      <c r="A64" s="33"/>
      <c r="B64" s="33"/>
      <c r="C64" s="33"/>
      <c r="D64" s="48" t="str">
        <f>'2023 Forecast'!D64</f>
        <v>Deck &amp; Pool Repair</v>
      </c>
      <c r="E64" s="33"/>
      <c r="F64" s="33"/>
      <c r="G64" s="33"/>
      <c r="H64" s="33"/>
      <c r="I64" s="42">
        <v>0</v>
      </c>
      <c r="J64" s="42">
        <v>0</v>
      </c>
      <c r="K64" s="42">
        <v>0</v>
      </c>
      <c r="L64" s="42">
        <v>1200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70">
        <f t="shared" si="26"/>
        <v>1200</v>
      </c>
      <c r="V64" s="50">
        <f>'2023 Forecast'!O64</f>
        <v>0</v>
      </c>
      <c r="W64" s="82">
        <f t="shared" si="27"/>
        <v>-1200</v>
      </c>
      <c r="X64" s="33"/>
      <c r="Y64" s="243"/>
      <c r="Z64" s="33"/>
    </row>
    <row r="65" spans="1:25" ht="15.75" customHeight="1" x14ac:dyDescent="0.3">
      <c r="A65" s="33"/>
      <c r="B65" s="33"/>
      <c r="C65" s="33"/>
      <c r="D65" s="26"/>
      <c r="E65" s="47" t="str">
        <f>'2023 Forecast'!E65</f>
        <v>Payroll Expenses</v>
      </c>
      <c r="F65" s="33"/>
      <c r="G65" s="33"/>
      <c r="H65" s="33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70"/>
      <c r="V65" s="50"/>
      <c r="W65" s="82">
        <f t="shared" si="27"/>
        <v>0</v>
      </c>
      <c r="Y65" s="243"/>
    </row>
    <row r="66" spans="1:25" ht="15.75" customHeight="1" x14ac:dyDescent="0.3">
      <c r="A66" s="33"/>
      <c r="B66" s="33"/>
      <c r="C66" s="33"/>
      <c r="D66" s="48"/>
      <c r="E66" s="26"/>
      <c r="F66" s="45" t="str">
        <f>'2023 Forecast'!F66</f>
        <v>Contract - Attendant</v>
      </c>
      <c r="G66" s="33"/>
      <c r="H66" s="46"/>
      <c r="I66" s="42">
        <v>100</v>
      </c>
      <c r="J66" s="42">
        <v>100</v>
      </c>
      <c r="K66" s="42">
        <v>150</v>
      </c>
      <c r="L66" s="42">
        <v>150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150</v>
      </c>
      <c r="T66" s="42">
        <v>150</v>
      </c>
      <c r="U66" s="70">
        <f t="shared" ref="U66:U69" si="28">SUM(I66:T66)</f>
        <v>800</v>
      </c>
      <c r="V66" s="50">
        <f>'2023 Forecast'!O66</f>
        <v>950</v>
      </c>
      <c r="W66" s="82">
        <f t="shared" si="27"/>
        <v>150</v>
      </c>
      <c r="Y66" s="243"/>
    </row>
    <row r="67" spans="1:25" ht="15.75" customHeight="1" x14ac:dyDescent="0.3">
      <c r="A67" s="33"/>
      <c r="B67" s="322"/>
      <c r="C67" s="33"/>
      <c r="D67" s="48"/>
      <c r="E67" s="26"/>
      <c r="F67" s="45" t="str">
        <f>'2023 Forecast'!F67</f>
        <v>Processing Service</v>
      </c>
      <c r="G67" s="33"/>
      <c r="H67" s="33"/>
      <c r="I67" s="42">
        <v>0</v>
      </c>
      <c r="J67" s="42">
        <v>0</v>
      </c>
      <c r="K67" s="42">
        <v>0</v>
      </c>
      <c r="L67" s="42">
        <v>0</v>
      </c>
      <c r="M67" s="42">
        <v>60</v>
      </c>
      <c r="N67" s="42">
        <v>60</v>
      </c>
      <c r="O67" s="42">
        <v>60</v>
      </c>
      <c r="P67" s="42">
        <v>60</v>
      </c>
      <c r="Q67" s="42">
        <v>60</v>
      </c>
      <c r="R67" s="42">
        <v>60</v>
      </c>
      <c r="S67" s="42">
        <v>0</v>
      </c>
      <c r="T67" s="42">
        <v>0</v>
      </c>
      <c r="U67" s="70">
        <f t="shared" si="28"/>
        <v>360</v>
      </c>
      <c r="V67" s="50">
        <f>'2023 Forecast'!O67</f>
        <v>1402.9</v>
      </c>
      <c r="W67" s="82">
        <f t="shared" si="27"/>
        <v>1042.9000000000001</v>
      </c>
      <c r="Y67" s="243"/>
    </row>
    <row r="68" spans="1:25" ht="15.75" customHeight="1" x14ac:dyDescent="0.3">
      <c r="A68" s="33"/>
      <c r="B68" s="322"/>
      <c r="C68" s="33"/>
      <c r="D68" s="48"/>
      <c r="E68" s="26"/>
      <c r="F68" s="45" t="str">
        <f>'2023 Forecast'!F68</f>
        <v>Taxes</v>
      </c>
      <c r="G68" s="33"/>
      <c r="H68" s="33"/>
      <c r="I68" s="42">
        <v>0</v>
      </c>
      <c r="J68" s="42">
        <v>0</v>
      </c>
      <c r="K68" s="42">
        <v>0</v>
      </c>
      <c r="L68" s="42">
        <v>0</v>
      </c>
      <c r="M68" s="42">
        <f>M69*0.12</f>
        <v>0</v>
      </c>
      <c r="N68" s="42">
        <f t="shared" ref="N68:R68" si="29">N69*0.12</f>
        <v>327.59999999999997</v>
      </c>
      <c r="O68" s="42">
        <f t="shared" si="29"/>
        <v>338.52</v>
      </c>
      <c r="P68" s="42">
        <f t="shared" si="29"/>
        <v>291.90786857142859</v>
      </c>
      <c r="Q68" s="42">
        <f t="shared" si="29"/>
        <v>70.2</v>
      </c>
      <c r="R68" s="42">
        <f t="shared" si="29"/>
        <v>0</v>
      </c>
      <c r="S68" s="42">
        <v>0</v>
      </c>
      <c r="T68" s="42">
        <v>0</v>
      </c>
      <c r="U68" s="70">
        <f t="shared" ref="U68" si="30">SUM(I68:T68)</f>
        <v>1028.2278685714284</v>
      </c>
      <c r="V68" s="50">
        <f>'2023 Forecast'!O68</f>
        <v>1254.23</v>
      </c>
      <c r="W68" s="82">
        <f t="shared" ref="W68" si="31">V68-U68</f>
        <v>226.0021314285716</v>
      </c>
      <c r="Y68" s="243"/>
    </row>
    <row r="69" spans="1:25" ht="15.75" customHeight="1" x14ac:dyDescent="0.3">
      <c r="A69" s="33"/>
      <c r="B69" s="33"/>
      <c r="C69" s="33"/>
      <c r="D69" s="48"/>
      <c r="E69" s="26"/>
      <c r="F69" s="45" t="str">
        <f>'2023 Forecast'!F69</f>
        <v>Wages for Attendant</v>
      </c>
      <c r="G69" s="33"/>
      <c r="H69" s="33"/>
      <c r="I69" s="206">
        <v>0</v>
      </c>
      <c r="J69" s="206">
        <v>0</v>
      </c>
      <c r="K69" s="206">
        <v>0</v>
      </c>
      <c r="L69" s="206">
        <v>0</v>
      </c>
      <c r="M69" s="74">
        <f>'Pool Attendents'!G17</f>
        <v>0</v>
      </c>
      <c r="N69" s="74">
        <f>'Pool Attendents'!H17</f>
        <v>2730</v>
      </c>
      <c r="O69" s="74">
        <f>'Pool Attendents'!I17</f>
        <v>2821</v>
      </c>
      <c r="P69" s="74">
        <f>'Pool Attendents'!J17</f>
        <v>2432.5655714285717</v>
      </c>
      <c r="Q69" s="74">
        <f>'Pool Attendents'!K17</f>
        <v>585</v>
      </c>
      <c r="R69" s="74">
        <f>'Pool Attendents'!L17</f>
        <v>0</v>
      </c>
      <c r="S69" s="206">
        <v>0</v>
      </c>
      <c r="T69" s="206">
        <v>0</v>
      </c>
      <c r="U69" s="207">
        <f t="shared" si="28"/>
        <v>8568.5655714285713</v>
      </c>
      <c r="V69" s="74">
        <f>'2023 Forecast'!O69</f>
        <v>7098.45</v>
      </c>
      <c r="W69" s="208">
        <f t="shared" si="27"/>
        <v>-1470.1155714285715</v>
      </c>
      <c r="Y69" s="243"/>
    </row>
    <row r="70" spans="1:25" ht="15.75" customHeight="1" x14ac:dyDescent="0.3">
      <c r="A70" s="33"/>
      <c r="B70" s="33"/>
      <c r="C70" s="33"/>
      <c r="D70" s="48"/>
      <c r="E70" s="45"/>
      <c r="F70" s="33"/>
      <c r="G70" s="33"/>
      <c r="H70" s="33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70"/>
      <c r="V70" s="50"/>
      <c r="W70" s="82"/>
      <c r="Y70" s="243"/>
    </row>
    <row r="71" spans="1:25" ht="15.75" customHeight="1" x14ac:dyDescent="0.3">
      <c r="A71" s="33"/>
      <c r="B71" s="33"/>
      <c r="C71" s="33"/>
      <c r="D71" s="48"/>
      <c r="E71" s="33"/>
      <c r="F71" s="47" t="str">
        <f>'2023 Forecast'!F71</f>
        <v>Total Payroll Expenses</v>
      </c>
      <c r="G71" s="33"/>
      <c r="H71" s="33"/>
      <c r="I71" s="44">
        <f t="shared" ref="I71:W71" si="32">SUM(I66:I70)</f>
        <v>100</v>
      </c>
      <c r="J71" s="44">
        <f t="shared" si="32"/>
        <v>100</v>
      </c>
      <c r="K71" s="44">
        <f t="shared" si="32"/>
        <v>150</v>
      </c>
      <c r="L71" s="44">
        <f t="shared" si="32"/>
        <v>150</v>
      </c>
      <c r="M71" s="44">
        <f t="shared" si="32"/>
        <v>60</v>
      </c>
      <c r="N71" s="44">
        <f t="shared" si="32"/>
        <v>3117.6</v>
      </c>
      <c r="O71" s="44">
        <f t="shared" si="32"/>
        <v>3219.52</v>
      </c>
      <c r="P71" s="44">
        <f t="shared" si="32"/>
        <v>2784.4734400000002</v>
      </c>
      <c r="Q71" s="44">
        <f t="shared" si="32"/>
        <v>715.2</v>
      </c>
      <c r="R71" s="44">
        <f t="shared" si="32"/>
        <v>60</v>
      </c>
      <c r="S71" s="44">
        <f t="shared" si="32"/>
        <v>150</v>
      </c>
      <c r="T71" s="44">
        <f t="shared" si="32"/>
        <v>150</v>
      </c>
      <c r="U71" s="72">
        <f t="shared" si="32"/>
        <v>10756.793439999999</v>
      </c>
      <c r="V71" s="44">
        <f t="shared" si="32"/>
        <v>10705.58</v>
      </c>
      <c r="W71" s="84">
        <f t="shared" si="32"/>
        <v>-51.213439999999764</v>
      </c>
      <c r="Y71" s="242">
        <f>V71-U71</f>
        <v>-51.213439999999537</v>
      </c>
    </row>
    <row r="72" spans="1:25" ht="15.75" customHeight="1" x14ac:dyDescent="0.3">
      <c r="A72" s="33"/>
      <c r="B72" s="33"/>
      <c r="C72" s="33"/>
      <c r="D72" s="26"/>
      <c r="E72" s="45" t="str">
        <f>'2023 Forecast'!E72</f>
        <v>Permits &amp; License Reqmts - incl. safety course</v>
      </c>
      <c r="F72" s="47"/>
      <c r="G72" s="33"/>
      <c r="H72" s="33" t="s">
        <v>140</v>
      </c>
      <c r="I72" s="42">
        <v>0</v>
      </c>
      <c r="J72" s="42">
        <v>0</v>
      </c>
      <c r="K72" s="42">
        <v>150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70">
        <f t="shared" ref="U72:U76" si="33">SUM(I72:T72)</f>
        <v>150</v>
      </c>
      <c r="V72" s="50">
        <f>'2023 Forecast'!O72</f>
        <v>20</v>
      </c>
      <c r="W72" s="82">
        <f t="shared" ref="W72:W76" si="34">V72-U72</f>
        <v>-130</v>
      </c>
      <c r="Y72" s="242"/>
    </row>
    <row r="73" spans="1:25" ht="15.75" customHeight="1" x14ac:dyDescent="0.3">
      <c r="A73" s="33"/>
      <c r="B73" s="33"/>
      <c r="C73" s="33"/>
      <c r="D73" s="48"/>
      <c r="E73" s="45" t="str">
        <f>'2023 Forecast'!E73</f>
        <v>Pool Cleaning Service</v>
      </c>
      <c r="F73" s="47"/>
      <c r="G73" s="33"/>
      <c r="H73" s="33"/>
      <c r="I73" s="42">
        <v>150</v>
      </c>
      <c r="J73" s="42">
        <v>0</v>
      </c>
      <c r="K73" s="42">
        <v>0</v>
      </c>
      <c r="L73" s="42">
        <v>150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150</v>
      </c>
      <c r="T73" s="42">
        <v>0</v>
      </c>
      <c r="U73" s="70">
        <f t="shared" si="33"/>
        <v>450</v>
      </c>
      <c r="V73" s="50">
        <f>'2023 Forecast'!O73</f>
        <v>240</v>
      </c>
      <c r="W73" s="82">
        <f t="shared" si="34"/>
        <v>-210</v>
      </c>
      <c r="Y73" s="243"/>
    </row>
    <row r="74" spans="1:25" ht="15.75" customHeight="1" x14ac:dyDescent="0.3">
      <c r="A74" s="33"/>
      <c r="B74" s="33"/>
      <c r="C74" s="33"/>
      <c r="D74" s="48"/>
      <c r="E74" s="45" t="str">
        <f>'2023 Forecast'!E74</f>
        <v>Pool Furniture</v>
      </c>
      <c r="F74" s="47"/>
      <c r="G74" s="33"/>
      <c r="H74" s="33"/>
      <c r="I74" s="42">
        <v>0</v>
      </c>
      <c r="J74" s="42">
        <v>0</v>
      </c>
      <c r="K74" s="42">
        <v>0</v>
      </c>
      <c r="L74" s="42">
        <v>0</v>
      </c>
      <c r="M74" s="42">
        <v>250</v>
      </c>
      <c r="N74" s="42">
        <v>0</v>
      </c>
      <c r="O74" s="42">
        <v>100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70">
        <f t="shared" si="33"/>
        <v>350</v>
      </c>
      <c r="V74" s="50">
        <f>'2023 Forecast'!O74</f>
        <v>1500</v>
      </c>
      <c r="W74" s="82">
        <f t="shared" si="34"/>
        <v>1150</v>
      </c>
      <c r="Y74" s="243"/>
    </row>
    <row r="75" spans="1:25" ht="15.75" customHeight="1" x14ac:dyDescent="0.3">
      <c r="A75" s="33"/>
      <c r="B75" s="33"/>
      <c r="C75" s="33"/>
      <c r="D75" s="48"/>
      <c r="E75" s="45" t="str">
        <f>'2023 Forecast'!E75</f>
        <v>Repairs</v>
      </c>
      <c r="F75" s="47"/>
      <c r="G75" s="33"/>
      <c r="H75" s="33"/>
      <c r="I75" s="42">
        <v>0</v>
      </c>
      <c r="J75" s="42">
        <v>0</v>
      </c>
      <c r="K75" s="42">
        <v>0</v>
      </c>
      <c r="L75" s="42">
        <v>1000</v>
      </c>
      <c r="M75" s="42">
        <v>0</v>
      </c>
      <c r="N75" s="42">
        <v>0</v>
      </c>
      <c r="O75" s="42">
        <v>0</v>
      </c>
      <c r="P75" s="42">
        <v>0</v>
      </c>
      <c r="Q75" s="42">
        <v>1250</v>
      </c>
      <c r="R75" s="42">
        <v>0</v>
      </c>
      <c r="S75" s="42">
        <v>0</v>
      </c>
      <c r="T75" s="42">
        <v>0</v>
      </c>
      <c r="U75" s="70">
        <f t="shared" si="33"/>
        <v>2250</v>
      </c>
      <c r="V75" s="50">
        <f>'2023 Forecast'!O75</f>
        <v>1205</v>
      </c>
      <c r="W75" s="82">
        <f t="shared" si="34"/>
        <v>-1045</v>
      </c>
      <c r="Y75" s="243"/>
    </row>
    <row r="76" spans="1:25" ht="15.75" customHeight="1" x14ac:dyDescent="0.3">
      <c r="A76" s="33"/>
      <c r="B76" s="33"/>
      <c r="C76" s="33"/>
      <c r="D76" s="26"/>
      <c r="E76" s="45" t="str">
        <f>'2023 Forecast'!E76</f>
        <v>Supplies</v>
      </c>
      <c r="F76" s="33"/>
      <c r="G76" s="33"/>
      <c r="H76" s="33"/>
      <c r="I76" s="206">
        <v>0</v>
      </c>
      <c r="J76" s="206">
        <v>0</v>
      </c>
      <c r="K76" s="206">
        <v>0</v>
      </c>
      <c r="L76" s="206">
        <v>650</v>
      </c>
      <c r="M76" s="206">
        <v>150</v>
      </c>
      <c r="N76" s="206">
        <v>650</v>
      </c>
      <c r="O76" s="206">
        <v>50</v>
      </c>
      <c r="P76" s="206">
        <v>650</v>
      </c>
      <c r="Q76" s="206">
        <v>150</v>
      </c>
      <c r="R76" s="206">
        <v>0</v>
      </c>
      <c r="S76" s="206">
        <v>0</v>
      </c>
      <c r="T76" s="206">
        <v>0</v>
      </c>
      <c r="U76" s="207">
        <f t="shared" si="33"/>
        <v>2300</v>
      </c>
      <c r="V76" s="74">
        <f>'2023 Forecast'!O76</f>
        <v>2708.41</v>
      </c>
      <c r="W76" s="208">
        <f t="shared" si="34"/>
        <v>408.40999999999985</v>
      </c>
      <c r="Y76" s="243"/>
    </row>
    <row r="77" spans="1:25" ht="15.75" customHeight="1" x14ac:dyDescent="0.3">
      <c r="A77" s="33"/>
      <c r="B77" s="33"/>
      <c r="C77" s="33"/>
      <c r="D77" s="26"/>
      <c r="E77" s="33"/>
      <c r="F77" s="33"/>
      <c r="G77" s="33"/>
      <c r="H77" s="33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70"/>
      <c r="V77" s="50"/>
      <c r="W77" s="82"/>
      <c r="Y77" s="243"/>
    </row>
    <row r="78" spans="1:25" ht="15.75" customHeight="1" x14ac:dyDescent="0.3">
      <c r="A78" s="33"/>
      <c r="B78" s="33"/>
      <c r="C78" s="33"/>
      <c r="D78" s="47" t="str">
        <f>'2023 Forecast'!D78</f>
        <v>Total Pool Expense</v>
      </c>
      <c r="E78" s="33"/>
      <c r="F78" s="33"/>
      <c r="G78" s="33"/>
      <c r="H78" s="33"/>
      <c r="I78" s="44">
        <f t="shared" ref="I78:W78" si="35">SUM(I63:I64,I71:I76)</f>
        <v>250</v>
      </c>
      <c r="J78" s="44">
        <f t="shared" si="35"/>
        <v>100</v>
      </c>
      <c r="K78" s="44">
        <f t="shared" si="35"/>
        <v>300</v>
      </c>
      <c r="L78" s="44">
        <f t="shared" si="35"/>
        <v>3150</v>
      </c>
      <c r="M78" s="44">
        <f t="shared" si="35"/>
        <v>1060</v>
      </c>
      <c r="N78" s="44">
        <f t="shared" si="35"/>
        <v>3967.6</v>
      </c>
      <c r="O78" s="44">
        <f t="shared" si="35"/>
        <v>3969.52</v>
      </c>
      <c r="P78" s="44">
        <f t="shared" si="35"/>
        <v>4034.4734400000002</v>
      </c>
      <c r="Q78" s="44">
        <f t="shared" si="35"/>
        <v>2115.1999999999998</v>
      </c>
      <c r="R78" s="44">
        <f t="shared" si="35"/>
        <v>60</v>
      </c>
      <c r="S78" s="44">
        <f t="shared" si="35"/>
        <v>300</v>
      </c>
      <c r="T78" s="44">
        <f t="shared" si="35"/>
        <v>400</v>
      </c>
      <c r="U78" s="72">
        <f t="shared" si="35"/>
        <v>19706.793440000001</v>
      </c>
      <c r="V78" s="44">
        <f t="shared" si="35"/>
        <v>18220.690000000002</v>
      </c>
      <c r="W78" s="84">
        <f t="shared" si="35"/>
        <v>-1486.1034399999999</v>
      </c>
      <c r="X78" s="33"/>
      <c r="Y78" s="242">
        <f>V78-U78</f>
        <v>-1486.103439999999</v>
      </c>
    </row>
    <row r="79" spans="1:25" ht="15.75" customHeight="1" x14ac:dyDescent="0.3">
      <c r="A79" s="33"/>
      <c r="B79" s="33"/>
      <c r="C79" s="33"/>
      <c r="D79" s="26"/>
      <c r="E79" s="33"/>
      <c r="F79" s="33"/>
      <c r="G79" s="33"/>
      <c r="H79" s="33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70"/>
      <c r="V79" s="50"/>
      <c r="W79" s="82"/>
      <c r="X79" s="33"/>
      <c r="Y79" s="243"/>
    </row>
    <row r="80" spans="1:25" ht="15.75" customHeight="1" x14ac:dyDescent="0.3">
      <c r="A80" s="33"/>
      <c r="B80" s="33"/>
      <c r="C80" s="33"/>
      <c r="D80" s="47" t="str">
        <f>'2023 Forecast'!D80</f>
        <v>Property Management Expenses</v>
      </c>
      <c r="E80" s="33"/>
      <c r="F80" s="33"/>
      <c r="G80" s="33"/>
      <c r="H80" s="164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70"/>
      <c r="V80" s="50"/>
      <c r="W80" s="82"/>
      <c r="X80" s="33"/>
      <c r="Y80" s="243"/>
    </row>
    <row r="81" spans="1:25" ht="15.75" customHeight="1" x14ac:dyDescent="0.3">
      <c r="A81" s="33"/>
      <c r="B81" s="33"/>
      <c r="C81" s="33"/>
      <c r="D81" s="45"/>
      <c r="E81" s="45" t="str">
        <f>'2023 Forecast'!E81</f>
        <v>Monthly Service Management Fee</v>
      </c>
      <c r="F81" s="33"/>
      <c r="G81" s="33"/>
      <c r="H81" s="164"/>
      <c r="I81" s="42">
        <v>985</v>
      </c>
      <c r="J81" s="42">
        <v>985</v>
      </c>
      <c r="K81" s="42">
        <v>985</v>
      </c>
      <c r="L81" s="42">
        <v>985</v>
      </c>
      <c r="M81" s="42">
        <v>985</v>
      </c>
      <c r="N81" s="42">
        <v>985</v>
      </c>
      <c r="O81" s="42">
        <v>985</v>
      </c>
      <c r="P81" s="42">
        <v>985</v>
      </c>
      <c r="Q81" s="42">
        <v>985</v>
      </c>
      <c r="R81" s="42">
        <v>985</v>
      </c>
      <c r="S81" s="42">
        <v>985</v>
      </c>
      <c r="T81" s="42">
        <v>985</v>
      </c>
      <c r="U81" s="70">
        <f t="shared" ref="U81:U85" si="36">SUM(I81:T81)</f>
        <v>11820</v>
      </c>
      <c r="V81" s="50">
        <f>'2023 Forecast'!O81</f>
        <v>11821.11</v>
      </c>
      <c r="W81" s="82">
        <f t="shared" ref="W81:W85" si="37">V81-U81</f>
        <v>1.1100000000005821</v>
      </c>
      <c r="Y81" s="243"/>
    </row>
    <row r="82" spans="1:25" ht="15.75" customHeight="1" x14ac:dyDescent="0.3">
      <c r="A82" s="33"/>
      <c r="B82" s="33"/>
      <c r="C82" s="33"/>
      <c r="D82" s="45"/>
      <c r="E82" s="45" t="str">
        <f>'2023 Forecast'!E82</f>
        <v>Property Management Expenses</v>
      </c>
      <c r="F82" s="33"/>
      <c r="G82" s="33"/>
      <c r="H82" s="164"/>
      <c r="I82" s="42">
        <v>0</v>
      </c>
      <c r="J82" s="42">
        <v>0</v>
      </c>
      <c r="K82" s="42">
        <v>100</v>
      </c>
      <c r="L82" s="42">
        <v>100</v>
      </c>
      <c r="M82" s="42">
        <v>100</v>
      </c>
      <c r="N82" s="42">
        <v>100</v>
      </c>
      <c r="O82" s="42">
        <v>100</v>
      </c>
      <c r="P82" s="42">
        <v>100</v>
      </c>
      <c r="Q82" s="42">
        <v>100</v>
      </c>
      <c r="R82" s="42">
        <v>100</v>
      </c>
      <c r="S82" s="42">
        <v>100</v>
      </c>
      <c r="T82" s="42">
        <v>0</v>
      </c>
      <c r="U82" s="70">
        <f t="shared" ref="U82" si="38">SUM(I82:T82)</f>
        <v>900</v>
      </c>
      <c r="V82" s="50">
        <f>'2023 Forecast'!O82</f>
        <v>1014.89</v>
      </c>
      <c r="W82" s="82">
        <f t="shared" ref="W82" si="39">V82-U82</f>
        <v>114.88999999999999</v>
      </c>
      <c r="Y82" s="243"/>
    </row>
    <row r="83" spans="1:25" ht="15.75" customHeight="1" x14ac:dyDescent="0.3">
      <c r="A83" s="33"/>
      <c r="B83" s="33"/>
      <c r="C83" s="33"/>
      <c r="D83" s="45"/>
      <c r="E83" s="45" t="str">
        <f>'2023 Forecast'!E83</f>
        <v>Payroll Preparation</v>
      </c>
      <c r="F83" s="33"/>
      <c r="G83" s="33"/>
      <c r="H83" s="163"/>
      <c r="I83" s="42">
        <v>0</v>
      </c>
      <c r="J83" s="42">
        <v>0</v>
      </c>
      <c r="K83" s="42">
        <v>0</v>
      </c>
      <c r="L83" s="42">
        <v>0</v>
      </c>
      <c r="M83" s="42">
        <v>50</v>
      </c>
      <c r="N83" s="42">
        <v>50</v>
      </c>
      <c r="O83" s="42">
        <v>50</v>
      </c>
      <c r="P83" s="42">
        <v>50</v>
      </c>
      <c r="Q83" s="42">
        <v>50</v>
      </c>
      <c r="R83" s="42">
        <v>50</v>
      </c>
      <c r="S83" s="42">
        <v>0</v>
      </c>
      <c r="T83" s="42">
        <v>0</v>
      </c>
      <c r="U83" s="70">
        <f t="shared" si="36"/>
        <v>300</v>
      </c>
      <c r="V83" s="50">
        <f>'2023 Forecast'!O83</f>
        <v>219.9</v>
      </c>
      <c r="W83" s="82">
        <f t="shared" si="37"/>
        <v>-80.099999999999994</v>
      </c>
      <c r="Y83" s="243"/>
    </row>
    <row r="84" spans="1:25" ht="15.75" customHeight="1" x14ac:dyDescent="0.3">
      <c r="A84" s="33"/>
      <c r="B84" s="33"/>
      <c r="C84" s="33"/>
      <c r="D84" s="45"/>
      <c r="E84" s="45" t="str">
        <f>'2023 Forecast'!E84</f>
        <v>Project Management Fee</v>
      </c>
      <c r="F84" s="33"/>
      <c r="G84" s="33"/>
      <c r="H84" s="249">
        <v>0.1</v>
      </c>
      <c r="I84" s="50">
        <f t="shared" ref="I84:K84" si="40">$H$84*I75</f>
        <v>0</v>
      </c>
      <c r="J84" s="50">
        <f t="shared" si="40"/>
        <v>0</v>
      </c>
      <c r="K84" s="50">
        <f t="shared" si="40"/>
        <v>0</v>
      </c>
      <c r="L84" s="50">
        <f>$H$84*L75</f>
        <v>100</v>
      </c>
      <c r="M84" s="50">
        <f t="shared" ref="M84:T84" si="41">$H$84*M75</f>
        <v>0</v>
      </c>
      <c r="N84" s="50">
        <f t="shared" si="41"/>
        <v>0</v>
      </c>
      <c r="O84" s="50">
        <f t="shared" si="41"/>
        <v>0</v>
      </c>
      <c r="P84" s="50">
        <f t="shared" si="41"/>
        <v>0</v>
      </c>
      <c r="Q84" s="50">
        <f t="shared" si="41"/>
        <v>125</v>
      </c>
      <c r="R84" s="50">
        <f t="shared" si="41"/>
        <v>0</v>
      </c>
      <c r="S84" s="50">
        <f t="shared" si="41"/>
        <v>0</v>
      </c>
      <c r="T84" s="50">
        <f t="shared" si="41"/>
        <v>0</v>
      </c>
      <c r="U84" s="70">
        <f t="shared" si="36"/>
        <v>225</v>
      </c>
      <c r="V84" s="50">
        <f>'2023 Forecast'!O84</f>
        <v>788.28</v>
      </c>
      <c r="W84" s="82">
        <f t="shared" si="37"/>
        <v>563.28</v>
      </c>
      <c r="Y84" s="243"/>
    </row>
    <row r="85" spans="1:25" ht="15.75" customHeight="1" x14ac:dyDescent="0.3">
      <c r="A85" s="33"/>
      <c r="B85" s="33"/>
      <c r="C85" s="33"/>
      <c r="D85" s="45"/>
      <c r="E85" s="45" t="str">
        <f>'2023 Forecast'!E85</f>
        <v>Resale Certificate Fee</v>
      </c>
      <c r="F85" s="33"/>
      <c r="G85" s="33"/>
      <c r="H85" s="322"/>
      <c r="I85" s="50">
        <f t="shared" ref="I85:T85" si="42">IF(I19=0,0,150)</f>
        <v>150</v>
      </c>
      <c r="J85" s="50">
        <f t="shared" si="42"/>
        <v>0</v>
      </c>
      <c r="K85" s="50">
        <f t="shared" si="42"/>
        <v>150</v>
      </c>
      <c r="L85" s="50">
        <f t="shared" si="42"/>
        <v>150</v>
      </c>
      <c r="M85" s="50">
        <f t="shared" si="42"/>
        <v>0</v>
      </c>
      <c r="N85" s="50">
        <f t="shared" si="42"/>
        <v>150</v>
      </c>
      <c r="O85" s="50">
        <f t="shared" si="42"/>
        <v>150</v>
      </c>
      <c r="P85" s="50">
        <f t="shared" si="42"/>
        <v>0</v>
      </c>
      <c r="Q85" s="50">
        <f t="shared" si="42"/>
        <v>150</v>
      </c>
      <c r="R85" s="50">
        <f t="shared" si="42"/>
        <v>150</v>
      </c>
      <c r="S85" s="50">
        <f t="shared" si="42"/>
        <v>0</v>
      </c>
      <c r="T85" s="50">
        <f t="shared" si="42"/>
        <v>0</v>
      </c>
      <c r="U85" s="70">
        <f t="shared" si="36"/>
        <v>1050</v>
      </c>
      <c r="V85" s="50">
        <f>'2023 Forecast'!O85</f>
        <v>2100</v>
      </c>
      <c r="W85" s="82">
        <f t="shared" si="37"/>
        <v>1050</v>
      </c>
      <c r="Y85" s="243"/>
    </row>
    <row r="86" spans="1:25" ht="15.75" customHeight="1" x14ac:dyDescent="0.3">
      <c r="A86" s="33"/>
      <c r="B86" s="33"/>
      <c r="C86" s="33"/>
      <c r="D86" s="45"/>
      <c r="E86" s="45"/>
      <c r="F86" s="33"/>
      <c r="G86" s="33"/>
      <c r="H86" s="3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71"/>
      <c r="V86" s="80"/>
      <c r="W86" s="83"/>
      <c r="Y86" s="243"/>
    </row>
    <row r="87" spans="1:25" ht="15.75" customHeight="1" x14ac:dyDescent="0.3">
      <c r="A87" s="33"/>
      <c r="B87" s="33"/>
      <c r="C87" s="33"/>
      <c r="D87" s="47" t="str">
        <f>'2023 Forecast'!D87</f>
        <v>Total - Property Management Expenses</v>
      </c>
      <c r="E87" s="33"/>
      <c r="F87" s="33"/>
      <c r="G87" s="33"/>
      <c r="H87" s="33"/>
      <c r="I87" s="44">
        <f>SUM(I81:I86)</f>
        <v>1135</v>
      </c>
      <c r="J87" s="44">
        <f t="shared" ref="J87:T87" si="43">SUM(J81:J86)</f>
        <v>985</v>
      </c>
      <c r="K87" s="44">
        <f t="shared" si="43"/>
        <v>1235</v>
      </c>
      <c r="L87" s="44">
        <f t="shared" si="43"/>
        <v>1335</v>
      </c>
      <c r="M87" s="44">
        <f t="shared" si="43"/>
        <v>1135</v>
      </c>
      <c r="N87" s="44">
        <f t="shared" si="43"/>
        <v>1285</v>
      </c>
      <c r="O87" s="44">
        <f t="shared" si="43"/>
        <v>1285</v>
      </c>
      <c r="P87" s="44">
        <f t="shared" si="43"/>
        <v>1135</v>
      </c>
      <c r="Q87" s="44">
        <f t="shared" si="43"/>
        <v>1410</v>
      </c>
      <c r="R87" s="44">
        <f t="shared" si="43"/>
        <v>1285</v>
      </c>
      <c r="S87" s="44">
        <f t="shared" si="43"/>
        <v>1085</v>
      </c>
      <c r="T87" s="44">
        <f t="shared" si="43"/>
        <v>985</v>
      </c>
      <c r="U87" s="72">
        <f t="shared" ref="U87" si="44">SUM(U81:U86)</f>
        <v>14295</v>
      </c>
      <c r="V87" s="44">
        <f t="shared" ref="V87:W87" si="45">SUM(V81:V86)</f>
        <v>15944.18</v>
      </c>
      <c r="W87" s="84">
        <f t="shared" si="45"/>
        <v>1649.1800000000005</v>
      </c>
      <c r="Y87" s="242">
        <f>V87-U87</f>
        <v>1649.1800000000003</v>
      </c>
    </row>
    <row r="88" spans="1:25" ht="15.75" customHeight="1" x14ac:dyDescent="0.3">
      <c r="A88" s="33"/>
      <c r="B88" s="33"/>
      <c r="C88" s="33"/>
      <c r="D88" s="45"/>
      <c r="E88" s="33"/>
      <c r="F88" s="33"/>
      <c r="G88" s="33"/>
      <c r="H88" s="33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70"/>
      <c r="V88" s="50"/>
      <c r="W88" s="82"/>
      <c r="Y88" s="243"/>
    </row>
    <row r="89" spans="1:25" ht="15.75" customHeight="1" x14ac:dyDescent="0.3">
      <c r="A89" s="33"/>
      <c r="B89" s="33"/>
      <c r="C89" s="33"/>
      <c r="D89" s="47" t="str">
        <f>'2023 Forecast'!D89</f>
        <v>Utilities</v>
      </c>
      <c r="E89" s="45"/>
      <c r="F89" s="33"/>
      <c r="G89" s="33"/>
      <c r="H89" s="33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70"/>
      <c r="V89" s="50"/>
      <c r="W89" s="82"/>
      <c r="Y89" s="243"/>
    </row>
    <row r="90" spans="1:25" ht="15.75" customHeight="1" x14ac:dyDescent="0.3">
      <c r="A90" s="33"/>
      <c r="B90" s="33"/>
      <c r="C90" s="33"/>
      <c r="D90" s="47"/>
      <c r="E90" s="33" t="str">
        <f>'2023 Forecast'!E90</f>
        <v>Telephone</v>
      </c>
      <c r="F90" s="33"/>
      <c r="G90" s="33"/>
      <c r="H90" s="33"/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100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70">
        <f t="shared" ref="U90" si="46">SUM(I90:T90)</f>
        <v>100</v>
      </c>
      <c r="V90" s="50">
        <f>'2023 Forecast'!O90</f>
        <v>254.67</v>
      </c>
      <c r="W90" s="82">
        <f t="shared" ref="W90" si="47">V90-U90</f>
        <v>154.66999999999999</v>
      </c>
      <c r="Y90" s="243"/>
    </row>
    <row r="91" spans="1:25" ht="15.75" customHeight="1" x14ac:dyDescent="0.3">
      <c r="A91" s="33"/>
      <c r="B91" s="33"/>
      <c r="C91" s="33"/>
      <c r="D91" s="47"/>
      <c r="E91" s="33" t="str">
        <f>'2023 Forecast'!E91</f>
        <v>AT&amp;T internet</v>
      </c>
      <c r="F91" s="33"/>
      <c r="G91" s="33"/>
      <c r="H91" s="33"/>
      <c r="I91" s="42">
        <v>80</v>
      </c>
      <c r="J91" s="42">
        <v>80</v>
      </c>
      <c r="K91" s="42">
        <v>80</v>
      </c>
      <c r="L91" s="42">
        <v>80</v>
      </c>
      <c r="M91" s="42">
        <v>80</v>
      </c>
      <c r="N91" s="42">
        <v>80</v>
      </c>
      <c r="O91" s="42">
        <v>80</v>
      </c>
      <c r="P91" s="42">
        <v>80</v>
      </c>
      <c r="Q91" s="42">
        <v>80</v>
      </c>
      <c r="R91" s="42">
        <v>80</v>
      </c>
      <c r="S91" s="42">
        <v>80</v>
      </c>
      <c r="T91" s="42">
        <v>80</v>
      </c>
      <c r="U91" s="70">
        <f t="shared" ref="U91" si="48">SUM(I91:T91)</f>
        <v>960</v>
      </c>
      <c r="V91" s="50">
        <f>'2023 Forecast'!O91</f>
        <v>724.23</v>
      </c>
      <c r="W91" s="82">
        <f t="shared" ref="W91" si="49">V91-U91</f>
        <v>-235.76999999999998</v>
      </c>
      <c r="Y91" s="243"/>
    </row>
    <row r="92" spans="1:25" ht="15.75" customHeight="1" x14ac:dyDescent="0.3">
      <c r="A92" s="33"/>
      <c r="B92" s="33"/>
      <c r="C92" s="33"/>
      <c r="D92" s="47"/>
      <c r="E92" s="33" t="str">
        <f>'2023 Forecast'!E92</f>
        <v>Arapaho W&amp;S</v>
      </c>
      <c r="F92" s="33"/>
      <c r="G92" s="33"/>
      <c r="H92" s="33"/>
      <c r="I92" s="42">
        <f>5.46*6</f>
        <v>32.76</v>
      </c>
      <c r="J92" s="50">
        <f>I92</f>
        <v>32.76</v>
      </c>
      <c r="K92" s="50">
        <f t="shared" ref="K92:T92" si="50">J92</f>
        <v>32.76</v>
      </c>
      <c r="L92" s="50">
        <f t="shared" si="50"/>
        <v>32.76</v>
      </c>
      <c r="M92" s="50">
        <f t="shared" si="50"/>
        <v>32.76</v>
      </c>
      <c r="N92" s="50">
        <f t="shared" si="50"/>
        <v>32.76</v>
      </c>
      <c r="O92" s="50">
        <f t="shared" si="50"/>
        <v>32.76</v>
      </c>
      <c r="P92" s="50">
        <f t="shared" si="50"/>
        <v>32.76</v>
      </c>
      <c r="Q92" s="50">
        <f t="shared" si="50"/>
        <v>32.76</v>
      </c>
      <c r="R92" s="50">
        <f t="shared" si="50"/>
        <v>32.76</v>
      </c>
      <c r="S92" s="50">
        <f t="shared" si="50"/>
        <v>32.76</v>
      </c>
      <c r="T92" s="50">
        <f t="shared" si="50"/>
        <v>32.76</v>
      </c>
      <c r="U92" s="70">
        <f t="shared" ref="U92:U94" si="51">SUM(I92:T92)</f>
        <v>393.11999999999995</v>
      </c>
      <c r="V92" s="50">
        <f>'2023 Forecast'!O92</f>
        <v>288.14999999999998</v>
      </c>
      <c r="W92" s="82">
        <f t="shared" ref="W92:W94" si="52">V92-U92</f>
        <v>-104.96999999999997</v>
      </c>
      <c r="Y92" s="243"/>
    </row>
    <row r="93" spans="1:25" ht="15.75" customHeight="1" x14ac:dyDescent="0.3">
      <c r="A93" s="33"/>
      <c r="B93" s="33"/>
      <c r="C93" s="33"/>
      <c r="D93" s="33"/>
      <c r="E93" s="45" t="str">
        <f>'2023 Forecast'!E93</f>
        <v>Electric</v>
      </c>
      <c r="F93" s="33"/>
      <c r="G93" s="33"/>
      <c r="H93" s="33"/>
      <c r="I93" s="42">
        <v>275</v>
      </c>
      <c r="J93" s="42">
        <v>275</v>
      </c>
      <c r="K93" s="42">
        <v>275</v>
      </c>
      <c r="L93" s="42">
        <v>275</v>
      </c>
      <c r="M93" s="42">
        <v>315</v>
      </c>
      <c r="N93" s="42">
        <v>350</v>
      </c>
      <c r="O93" s="42">
        <v>350</v>
      </c>
      <c r="P93" s="42">
        <v>350</v>
      </c>
      <c r="Q93" s="42">
        <v>315</v>
      </c>
      <c r="R93" s="42">
        <v>275</v>
      </c>
      <c r="S93" s="42">
        <v>275</v>
      </c>
      <c r="T93" s="42">
        <v>275</v>
      </c>
      <c r="U93" s="70">
        <f t="shared" si="51"/>
        <v>3605</v>
      </c>
      <c r="V93" s="50">
        <f>'2023 Forecast'!O93</f>
        <v>3624.5</v>
      </c>
      <c r="W93" s="82">
        <f t="shared" si="52"/>
        <v>19.5</v>
      </c>
      <c r="Y93" s="243"/>
    </row>
    <row r="94" spans="1:25" ht="15.75" customHeight="1" x14ac:dyDescent="0.3">
      <c r="A94" s="33"/>
      <c r="B94" s="33"/>
      <c r="C94" s="33"/>
      <c r="D94" s="33"/>
      <c r="E94" s="45" t="str">
        <f>'2023 Forecast'!E94</f>
        <v>Water &amp; Sewage - park</v>
      </c>
      <c r="F94" s="33"/>
      <c r="G94" s="33"/>
      <c r="H94" s="33"/>
      <c r="I94" s="206">
        <v>300</v>
      </c>
      <c r="J94" s="206">
        <v>350</v>
      </c>
      <c r="K94" s="206">
        <v>600</v>
      </c>
      <c r="L94" s="206">
        <v>650</v>
      </c>
      <c r="M94" s="206">
        <v>850</v>
      </c>
      <c r="N94" s="206">
        <f>O94</f>
        <v>2100</v>
      </c>
      <c r="O94" s="206">
        <f>P94</f>
        <v>2100</v>
      </c>
      <c r="P94" s="206">
        <v>2100</v>
      </c>
      <c r="Q94" s="206">
        <v>1800</v>
      </c>
      <c r="R94" s="206">
        <v>850</v>
      </c>
      <c r="S94" s="206">
        <f>R94</f>
        <v>850</v>
      </c>
      <c r="T94" s="206">
        <v>300</v>
      </c>
      <c r="U94" s="207">
        <f t="shared" si="51"/>
        <v>12850</v>
      </c>
      <c r="V94" s="74">
        <f>'2023 Forecast'!O94</f>
        <v>12780.55</v>
      </c>
      <c r="W94" s="208">
        <f t="shared" si="52"/>
        <v>-69.450000000000728</v>
      </c>
      <c r="X94" s="33"/>
      <c r="Y94" s="243"/>
    </row>
    <row r="95" spans="1:25" ht="10.5" customHeight="1" x14ac:dyDescent="0.3">
      <c r="A95" s="33"/>
      <c r="B95" s="33"/>
      <c r="C95" s="33"/>
      <c r="D95" s="33"/>
      <c r="E95" s="45"/>
      <c r="F95" s="33"/>
      <c r="G95" s="33"/>
      <c r="H95" s="33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70"/>
      <c r="V95" s="50"/>
      <c r="W95" s="82"/>
      <c r="Y95" s="243"/>
    </row>
    <row r="96" spans="1:25" ht="15.75" customHeight="1" x14ac:dyDescent="0.3">
      <c r="A96" s="33"/>
      <c r="B96" s="33"/>
      <c r="C96" s="33"/>
      <c r="D96" s="47" t="str">
        <f>'2023 Forecast'!D96</f>
        <v>Total Utilities</v>
      </c>
      <c r="E96" s="45"/>
      <c r="F96" s="33"/>
      <c r="G96" s="33"/>
      <c r="H96" s="33"/>
      <c r="I96" s="44">
        <f>SUM(I89:I95)</f>
        <v>687.76</v>
      </c>
      <c r="J96" s="44">
        <f t="shared" ref="J96:W96" si="53">SUM(J89:J95)</f>
        <v>737.76</v>
      </c>
      <c r="K96" s="44">
        <f t="shared" si="53"/>
        <v>987.76</v>
      </c>
      <c r="L96" s="44">
        <f t="shared" si="53"/>
        <v>1037.76</v>
      </c>
      <c r="M96" s="44">
        <f t="shared" si="53"/>
        <v>1277.76</v>
      </c>
      <c r="N96" s="44">
        <f t="shared" si="53"/>
        <v>2662.76</v>
      </c>
      <c r="O96" s="44">
        <f t="shared" si="53"/>
        <v>2562.7600000000002</v>
      </c>
      <c r="P96" s="44">
        <f t="shared" si="53"/>
        <v>2562.7600000000002</v>
      </c>
      <c r="Q96" s="44">
        <f t="shared" si="53"/>
        <v>2227.7600000000002</v>
      </c>
      <c r="R96" s="44">
        <f t="shared" si="53"/>
        <v>1237.76</v>
      </c>
      <c r="S96" s="44">
        <f t="shared" si="53"/>
        <v>1237.76</v>
      </c>
      <c r="T96" s="44">
        <f t="shared" si="53"/>
        <v>687.76</v>
      </c>
      <c r="U96" s="72">
        <f t="shared" si="53"/>
        <v>17908.12</v>
      </c>
      <c r="V96" s="44">
        <f t="shared" si="53"/>
        <v>17672.099999999999</v>
      </c>
      <c r="W96" s="84">
        <f t="shared" si="53"/>
        <v>-236.02000000000069</v>
      </c>
      <c r="Y96" s="242">
        <f>V96-U96</f>
        <v>-236.02000000000044</v>
      </c>
    </row>
    <row r="97" spans="1:28" ht="15.75" customHeight="1" x14ac:dyDescent="0.3">
      <c r="A97" s="33"/>
      <c r="B97" s="33"/>
      <c r="C97" s="33"/>
      <c r="D97" s="45"/>
      <c r="E97" s="33"/>
      <c r="F97" s="33"/>
      <c r="G97" s="33"/>
      <c r="H97" s="33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70"/>
      <c r="V97" s="50"/>
      <c r="W97" s="82"/>
      <c r="Y97" s="243"/>
    </row>
    <row r="98" spans="1:28" ht="15.75" customHeight="1" x14ac:dyDescent="0.3">
      <c r="A98" s="33"/>
      <c r="B98" s="33"/>
      <c r="C98" s="47" t="str">
        <f>'2023 Forecast'!C98</f>
        <v>Total Expense</v>
      </c>
      <c r="D98" s="33"/>
      <c r="E98" s="45"/>
      <c r="F98" s="33"/>
      <c r="G98" s="33"/>
      <c r="H98" s="33"/>
      <c r="I98" s="44">
        <f>I38+I48+I60+I78+I87+I96</f>
        <v>4529.76</v>
      </c>
      <c r="J98" s="44">
        <f t="shared" ref="J98:V98" si="54">J38+J48+J60+J78+J87+J96</f>
        <v>4029.76</v>
      </c>
      <c r="K98" s="44">
        <f t="shared" si="54"/>
        <v>7099.76</v>
      </c>
      <c r="L98" s="44">
        <f t="shared" si="54"/>
        <v>18243.722857142857</v>
      </c>
      <c r="M98" s="44">
        <f t="shared" si="54"/>
        <v>10004.781683673469</v>
      </c>
      <c r="N98" s="44">
        <f t="shared" si="54"/>
        <v>18044.980524325802</v>
      </c>
      <c r="O98" s="44">
        <f t="shared" si="54"/>
        <v>13304.380417324894</v>
      </c>
      <c r="P98" s="44">
        <f t="shared" si="54"/>
        <v>12620.884413206513</v>
      </c>
      <c r="Q98" s="44">
        <f t="shared" si="54"/>
        <v>10034.034302441109</v>
      </c>
      <c r="R98" s="44">
        <f t="shared" si="54"/>
        <v>11236.48730955385</v>
      </c>
      <c r="S98" s="44">
        <f t="shared" si="54"/>
        <v>6656.8278825053676</v>
      </c>
      <c r="T98" s="44">
        <f t="shared" si="54"/>
        <v>4462.2401043670343</v>
      </c>
      <c r="U98" s="72">
        <f t="shared" si="54"/>
        <v>120267.61949454088</v>
      </c>
      <c r="V98" s="44">
        <f t="shared" si="54"/>
        <v>115330.80000000002</v>
      </c>
      <c r="W98" s="84">
        <f>W38+W48+W60+W78+W87+W96</f>
        <v>-4936.8194945408959</v>
      </c>
      <c r="Y98" s="242">
        <f>V98-U98</f>
        <v>-4936.8194945408613</v>
      </c>
    </row>
    <row r="99" spans="1:28" ht="15.75" customHeight="1" x14ac:dyDescent="0.3">
      <c r="A99" s="33"/>
      <c r="B99" s="33"/>
      <c r="C99" s="33"/>
      <c r="D99" s="45"/>
      <c r="E99" s="45"/>
      <c r="F99" s="33"/>
      <c r="G99" s="33"/>
      <c r="H99" s="3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70"/>
      <c r="V99" s="50"/>
      <c r="W99" s="82"/>
      <c r="Y99" s="244"/>
    </row>
    <row r="100" spans="1:28" ht="15.75" customHeight="1" x14ac:dyDescent="0.3">
      <c r="A100" s="33"/>
      <c r="B100" s="47" t="s">
        <v>107</v>
      </c>
      <c r="C100" s="33"/>
      <c r="D100" s="45"/>
      <c r="E100" s="45"/>
      <c r="F100" s="33"/>
      <c r="G100" s="33"/>
      <c r="H100" s="33"/>
      <c r="I100" s="138">
        <f t="shared" ref="I100:V100" si="55">I22-I98</f>
        <v>10035.868024664482</v>
      </c>
      <c r="J100" s="138">
        <f t="shared" si="55"/>
        <v>8285.6796447261422</v>
      </c>
      <c r="K100" s="138">
        <f t="shared" si="55"/>
        <v>5486.3938438379573</v>
      </c>
      <c r="L100" s="138">
        <f t="shared" si="55"/>
        <v>-5214.5675786953034</v>
      </c>
      <c r="M100" s="138">
        <f t="shared" si="55"/>
        <v>1316.605032970203</v>
      </c>
      <c r="N100" s="138">
        <f t="shared" si="55"/>
        <v>-6096.3105742238531</v>
      </c>
      <c r="O100" s="138">
        <f t="shared" si="55"/>
        <v>-1652.4638590143568</v>
      </c>
      <c r="P100" s="138">
        <f t="shared" si="55"/>
        <v>-1222.3987635002013</v>
      </c>
      <c r="Q100" s="138">
        <f t="shared" si="55"/>
        <v>1612.0994777894703</v>
      </c>
      <c r="R100" s="138">
        <f t="shared" si="55"/>
        <v>514.36190512730536</v>
      </c>
      <c r="S100" s="138">
        <f t="shared" si="55"/>
        <v>4629.7690552124895</v>
      </c>
      <c r="T100" s="138">
        <f t="shared" si="55"/>
        <v>6977.143925695118</v>
      </c>
      <c r="U100" s="139">
        <f t="shared" si="55"/>
        <v>24672.180134589522</v>
      </c>
      <c r="V100" s="138">
        <f t="shared" si="55"/>
        <v>22819.749865792954</v>
      </c>
      <c r="W100" s="212">
        <f>W98+W22</f>
        <v>1852.430268796521</v>
      </c>
      <c r="Y100" s="242">
        <f>U100-V100</f>
        <v>1852.4302687965683</v>
      </c>
    </row>
    <row r="101" spans="1:28" ht="15.75" customHeight="1" x14ac:dyDescent="0.3">
      <c r="A101" s="33"/>
      <c r="B101" s="33"/>
      <c r="C101" s="33"/>
      <c r="D101" s="45"/>
      <c r="E101" s="45"/>
      <c r="F101" s="33"/>
      <c r="G101" s="33"/>
      <c r="H101" s="33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70"/>
      <c r="V101" s="50"/>
      <c r="W101" s="82"/>
      <c r="Y101" s="194"/>
    </row>
    <row r="102" spans="1:28" ht="15.75" customHeight="1" x14ac:dyDescent="0.3">
      <c r="A102" s="33"/>
      <c r="B102" s="33"/>
      <c r="C102" s="47" t="str">
        <f>'2023 Forecast'!C102</f>
        <v>Other (Income) / Expenses</v>
      </c>
      <c r="D102" s="45"/>
      <c r="E102" s="45"/>
      <c r="F102" s="33"/>
      <c r="G102" s="33"/>
      <c r="H102" s="33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70"/>
      <c r="V102" s="50"/>
      <c r="W102" s="82"/>
      <c r="Y102" s="243"/>
    </row>
    <row r="103" spans="1:28" ht="15.75" customHeight="1" x14ac:dyDescent="0.3">
      <c r="A103" s="33"/>
      <c r="B103" s="33"/>
      <c r="C103" s="33"/>
      <c r="D103" s="47" t="str">
        <f>'2023 Forecast'!D103</f>
        <v>Project and Required Maintenance</v>
      </c>
      <c r="E103" s="33"/>
      <c r="F103" s="33"/>
      <c r="G103" s="26"/>
      <c r="H103" s="33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70"/>
      <c r="V103" s="50"/>
      <c r="W103" s="82"/>
      <c r="X103" s="33"/>
      <c r="Y103" s="243"/>
    </row>
    <row r="104" spans="1:28" ht="15.75" customHeight="1" x14ac:dyDescent="0.3">
      <c r="A104" s="33"/>
      <c r="B104" s="33"/>
      <c r="C104" s="33"/>
      <c r="D104" s="45"/>
      <c r="E104" s="48" t="str">
        <f>'2023 Forecast'!E104</f>
        <v>2023 - Project Spending - east-end playground</v>
      </c>
      <c r="F104" s="45"/>
      <c r="G104" s="26"/>
      <c r="H104" s="33"/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70">
        <f t="shared" ref="U104:U106" si="56">SUM(I104:T104)</f>
        <v>0</v>
      </c>
      <c r="V104" s="50">
        <f>'2023 Forecast'!O104</f>
        <v>8057</v>
      </c>
      <c r="W104" s="82">
        <f t="shared" ref="W104" si="57">V104-U104</f>
        <v>8057</v>
      </c>
      <c r="X104" s="33"/>
      <c r="Y104" s="243"/>
    </row>
    <row r="105" spans="1:28" ht="15.75" customHeight="1" x14ac:dyDescent="0.3">
      <c r="A105" s="33"/>
      <c r="B105" s="33"/>
      <c r="C105" s="33"/>
      <c r="D105" s="45"/>
      <c r="E105" s="48" t="str">
        <f>'2023 Forecast'!E105</f>
        <v>Other</v>
      </c>
      <c r="F105" s="33"/>
      <c r="G105" s="26"/>
      <c r="H105" s="33"/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70">
        <f t="shared" si="56"/>
        <v>0</v>
      </c>
      <c r="V105" s="50">
        <f>'2023 Forecast'!O105</f>
        <v>0</v>
      </c>
      <c r="W105" s="82">
        <f t="shared" ref="W105:W106" si="58">U105-V105</f>
        <v>0</v>
      </c>
      <c r="Y105" s="243"/>
    </row>
    <row r="106" spans="1:28" ht="15.75" customHeight="1" x14ac:dyDescent="0.3">
      <c r="A106" s="33"/>
      <c r="B106" s="33"/>
      <c r="C106" s="33"/>
      <c r="D106" s="45"/>
      <c r="E106" s="48" t="str">
        <f>'2023 Forecast'!E106</f>
        <v>2024 - Project Spending Summary</v>
      </c>
      <c r="F106" s="33"/>
      <c r="G106" s="26"/>
      <c r="H106" s="33"/>
      <c r="I106" s="50">
        <f>I146</f>
        <v>0</v>
      </c>
      <c r="J106" s="50">
        <f t="shared" ref="J106:T106" si="59">J146</f>
        <v>0</v>
      </c>
      <c r="K106" s="50">
        <f t="shared" si="59"/>
        <v>0</v>
      </c>
      <c r="L106" s="50">
        <f t="shared" si="59"/>
        <v>6000</v>
      </c>
      <c r="M106" s="50">
        <f t="shared" si="59"/>
        <v>3500</v>
      </c>
      <c r="N106" s="50">
        <f t="shared" si="59"/>
        <v>0</v>
      </c>
      <c r="O106" s="50">
        <f t="shared" si="59"/>
        <v>0</v>
      </c>
      <c r="P106" s="50">
        <f t="shared" si="59"/>
        <v>0</v>
      </c>
      <c r="Q106" s="50">
        <f t="shared" si="59"/>
        <v>0</v>
      </c>
      <c r="R106" s="50">
        <f t="shared" si="59"/>
        <v>6500</v>
      </c>
      <c r="S106" s="50">
        <f t="shared" si="59"/>
        <v>10000</v>
      </c>
      <c r="T106" s="50">
        <f t="shared" si="59"/>
        <v>0</v>
      </c>
      <c r="U106" s="70">
        <f t="shared" si="56"/>
        <v>26000</v>
      </c>
      <c r="V106" s="50">
        <f>'2023 Forecast'!O106</f>
        <v>0</v>
      </c>
      <c r="W106" s="82">
        <f t="shared" si="58"/>
        <v>26000</v>
      </c>
      <c r="Y106" s="243"/>
    </row>
    <row r="107" spans="1:28" ht="15.75" customHeight="1" x14ac:dyDescent="0.3">
      <c r="A107" s="33"/>
      <c r="B107" s="33"/>
      <c r="C107" s="33"/>
      <c r="D107" s="47" t="str">
        <f>'2023 Forecast'!D107</f>
        <v>Total Other Expenses</v>
      </c>
      <c r="E107" s="45"/>
      <c r="F107" s="33"/>
      <c r="G107" s="33"/>
      <c r="H107" s="33"/>
      <c r="I107" s="49">
        <f t="shared" ref="I107:W107" si="60">SUM(I104:I106)</f>
        <v>0</v>
      </c>
      <c r="J107" s="49">
        <f t="shared" si="60"/>
        <v>0</v>
      </c>
      <c r="K107" s="49">
        <f t="shared" si="60"/>
        <v>0</v>
      </c>
      <c r="L107" s="49">
        <f t="shared" si="60"/>
        <v>6000</v>
      </c>
      <c r="M107" s="49">
        <f t="shared" si="60"/>
        <v>3500</v>
      </c>
      <c r="N107" s="49">
        <f t="shared" si="60"/>
        <v>0</v>
      </c>
      <c r="O107" s="49">
        <f t="shared" si="60"/>
        <v>0</v>
      </c>
      <c r="P107" s="49">
        <f t="shared" si="60"/>
        <v>0</v>
      </c>
      <c r="Q107" s="49">
        <f t="shared" si="60"/>
        <v>0</v>
      </c>
      <c r="R107" s="49">
        <f t="shared" si="60"/>
        <v>6500</v>
      </c>
      <c r="S107" s="49">
        <f t="shared" si="60"/>
        <v>10000</v>
      </c>
      <c r="T107" s="49">
        <f t="shared" si="60"/>
        <v>0</v>
      </c>
      <c r="U107" s="73">
        <f t="shared" si="60"/>
        <v>26000</v>
      </c>
      <c r="V107" s="49">
        <f t="shared" si="60"/>
        <v>8057</v>
      </c>
      <c r="W107" s="85">
        <f t="shared" si="60"/>
        <v>34057</v>
      </c>
      <c r="Y107" s="242">
        <f>U107-V107</f>
        <v>17943</v>
      </c>
    </row>
    <row r="108" spans="1:28" ht="15.75" customHeight="1" x14ac:dyDescent="0.3">
      <c r="A108" s="33"/>
      <c r="B108" s="33"/>
      <c r="C108" s="33"/>
      <c r="D108" s="45"/>
      <c r="E108" s="45"/>
      <c r="F108" s="33"/>
      <c r="G108" s="33"/>
      <c r="H108" s="3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70"/>
      <c r="V108" s="50"/>
      <c r="W108" s="82"/>
      <c r="Y108" s="244"/>
    </row>
    <row r="109" spans="1:28" ht="15.75" customHeight="1" x14ac:dyDescent="0.3">
      <c r="A109" s="33"/>
      <c r="B109" s="47" t="s">
        <v>108</v>
      </c>
      <c r="C109" s="45"/>
      <c r="D109" s="45"/>
      <c r="E109" s="45"/>
      <c r="F109" s="33"/>
      <c r="G109" s="33"/>
      <c r="H109" s="33"/>
      <c r="I109" s="138">
        <f t="shared" ref="I109:V109" si="61">I100-I107</f>
        <v>10035.868024664482</v>
      </c>
      <c r="J109" s="138">
        <f t="shared" si="61"/>
        <v>8285.6796447261422</v>
      </c>
      <c r="K109" s="138">
        <f t="shared" si="61"/>
        <v>5486.3938438379573</v>
      </c>
      <c r="L109" s="138">
        <f t="shared" si="61"/>
        <v>-11214.567578695303</v>
      </c>
      <c r="M109" s="138">
        <f t="shared" si="61"/>
        <v>-2183.394967029797</v>
      </c>
      <c r="N109" s="138">
        <f t="shared" si="61"/>
        <v>-6096.3105742238531</v>
      </c>
      <c r="O109" s="138">
        <f t="shared" si="61"/>
        <v>-1652.4638590143568</v>
      </c>
      <c r="P109" s="138">
        <f t="shared" si="61"/>
        <v>-1222.3987635002013</v>
      </c>
      <c r="Q109" s="138">
        <f t="shared" si="61"/>
        <v>1612.0994777894703</v>
      </c>
      <c r="R109" s="138">
        <f t="shared" si="61"/>
        <v>-5985.6380948726946</v>
      </c>
      <c r="S109" s="138">
        <f t="shared" si="61"/>
        <v>-5370.2309447875105</v>
      </c>
      <c r="T109" s="138">
        <f t="shared" si="61"/>
        <v>6977.143925695118</v>
      </c>
      <c r="U109" s="139">
        <f t="shared" si="61"/>
        <v>-1327.8198654104781</v>
      </c>
      <c r="V109" s="138">
        <f t="shared" si="61"/>
        <v>14762.749865792954</v>
      </c>
      <c r="W109" s="212">
        <f>W107+W100</f>
        <v>35909.430268796525</v>
      </c>
      <c r="Y109" s="242">
        <f>U109-V109</f>
        <v>-16090.569731203432</v>
      </c>
      <c r="AB109" s="52"/>
    </row>
    <row r="110" spans="1:28" ht="15.75" customHeight="1" x14ac:dyDescent="0.3">
      <c r="A110" s="33"/>
      <c r="B110" s="33"/>
      <c r="C110" s="33"/>
      <c r="D110" s="45"/>
      <c r="E110" s="45"/>
      <c r="F110" s="45"/>
      <c r="G110" s="4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237"/>
      <c r="V110" s="33"/>
      <c r="W110" s="238"/>
      <c r="X110" s="33"/>
      <c r="Y110" s="194"/>
      <c r="Z110" s="33"/>
      <c r="AB110" s="52"/>
    </row>
    <row r="111" spans="1:28" ht="15.75" customHeight="1" x14ac:dyDescent="0.3">
      <c r="A111" s="33"/>
      <c r="B111" s="33"/>
      <c r="C111" s="33"/>
      <c r="D111" s="45"/>
      <c r="E111" s="45"/>
      <c r="F111" s="45"/>
      <c r="G111" s="4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237"/>
      <c r="V111" s="33"/>
      <c r="W111" s="238"/>
      <c r="X111" s="33"/>
      <c r="Y111" s="194"/>
      <c r="Z111" s="33"/>
      <c r="AB111" s="52"/>
    </row>
    <row r="112" spans="1:28" ht="15.75" customHeight="1" x14ac:dyDescent="0.3">
      <c r="A112" s="33"/>
      <c r="B112" s="33"/>
      <c r="C112" s="33" t="s">
        <v>129</v>
      </c>
      <c r="D112" s="45"/>
      <c r="E112" s="45"/>
      <c r="F112" s="45"/>
      <c r="G112" s="45"/>
      <c r="H112" s="33"/>
      <c r="I112" s="50">
        <f>I128</f>
        <v>0</v>
      </c>
      <c r="J112" s="50">
        <f t="shared" ref="J112:T112" si="62">J128</f>
        <v>0</v>
      </c>
      <c r="K112" s="50">
        <f t="shared" si="62"/>
        <v>0</v>
      </c>
      <c r="L112" s="50">
        <f t="shared" si="62"/>
        <v>-107.14285714285717</v>
      </c>
      <c r="M112" s="50">
        <f t="shared" si="62"/>
        <v>-222.0216836734694</v>
      </c>
      <c r="N112" s="50">
        <f t="shared" si="62"/>
        <v>-269.6205243258018</v>
      </c>
      <c r="O112" s="50">
        <f t="shared" si="62"/>
        <v>-280.10041732489395</v>
      </c>
      <c r="P112" s="50">
        <f t="shared" si="62"/>
        <v>-281.65097320651387</v>
      </c>
      <c r="Q112" s="50">
        <f t="shared" si="62"/>
        <v>-274.07430244110827</v>
      </c>
      <c r="R112" s="50">
        <f t="shared" si="62"/>
        <v>-284.72730955384895</v>
      </c>
      <c r="S112" s="50">
        <f t="shared" si="62"/>
        <v>-277.06788250536698</v>
      </c>
      <c r="T112" s="50">
        <f t="shared" si="62"/>
        <v>-232.48010436703387</v>
      </c>
      <c r="U112" s="70">
        <f t="shared" ref="U112" si="63">SUM(I112:T112)</f>
        <v>-2228.8860545408943</v>
      </c>
      <c r="V112" s="50">
        <f>'2023 Forecast'!O112</f>
        <v>3372.6000000000004</v>
      </c>
      <c r="W112" s="82">
        <f t="shared" ref="W112" si="64">V112-U112</f>
        <v>5601.4860545408947</v>
      </c>
      <c r="X112" s="33"/>
      <c r="Y112" s="194"/>
      <c r="Z112" s="33"/>
      <c r="AB112" s="52"/>
    </row>
    <row r="113" spans="1:28" ht="15.75" customHeight="1" x14ac:dyDescent="0.3">
      <c r="A113" s="33"/>
      <c r="B113" s="33"/>
      <c r="C113" s="33"/>
      <c r="D113" s="45"/>
      <c r="E113" s="45"/>
      <c r="F113" s="45"/>
      <c r="G113" s="4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237"/>
      <c r="V113" s="33"/>
      <c r="W113" s="256"/>
      <c r="X113" s="33"/>
      <c r="Y113" s="194"/>
      <c r="Z113" s="33"/>
      <c r="AB113" s="52"/>
    </row>
    <row r="114" spans="1:28" ht="15.75" customHeight="1" thickBot="1" x14ac:dyDescent="0.35">
      <c r="A114" s="33"/>
      <c r="B114" s="33"/>
      <c r="C114" s="33"/>
      <c r="D114" s="47" t="s">
        <v>130</v>
      </c>
      <c r="E114" s="45"/>
      <c r="F114" s="45"/>
      <c r="G114" s="45"/>
      <c r="H114" s="33"/>
      <c r="I114" s="252">
        <f>I109-I112</f>
        <v>10035.868024664482</v>
      </c>
      <c r="J114" s="252">
        <f t="shared" ref="J114:V114" si="65">J109-J112</f>
        <v>8285.6796447261422</v>
      </c>
      <c r="K114" s="252">
        <f t="shared" si="65"/>
        <v>5486.3938438379573</v>
      </c>
      <c r="L114" s="252">
        <f t="shared" si="65"/>
        <v>-11107.424721552446</v>
      </c>
      <c r="M114" s="252">
        <f t="shared" si="65"/>
        <v>-1961.3732833563276</v>
      </c>
      <c r="N114" s="252">
        <f t="shared" si="65"/>
        <v>-5826.6900498980513</v>
      </c>
      <c r="O114" s="252">
        <f t="shared" si="65"/>
        <v>-1372.3634416894629</v>
      </c>
      <c r="P114" s="252">
        <f t="shared" si="65"/>
        <v>-940.74779029368744</v>
      </c>
      <c r="Q114" s="252">
        <f t="shared" si="65"/>
        <v>1886.1737802305786</v>
      </c>
      <c r="R114" s="252">
        <f t="shared" si="65"/>
        <v>-5700.9107853188452</v>
      </c>
      <c r="S114" s="252">
        <f t="shared" si="65"/>
        <v>-5093.1630622821431</v>
      </c>
      <c r="T114" s="257">
        <f t="shared" si="65"/>
        <v>7209.6240300621521</v>
      </c>
      <c r="U114" s="252">
        <f t="shared" si="65"/>
        <v>901.06618913041621</v>
      </c>
      <c r="V114" s="252">
        <f t="shared" si="65"/>
        <v>11390.149865792953</v>
      </c>
      <c r="W114" s="255">
        <f t="shared" ref="W114" si="66">U114-V114</f>
        <v>-10489.083676662536</v>
      </c>
      <c r="X114" s="127"/>
      <c r="Y114" s="242">
        <f>U114-V114</f>
        <v>-10489.083676662536</v>
      </c>
      <c r="Z114" s="33"/>
      <c r="AB114" s="52"/>
    </row>
    <row r="115" spans="1:28" ht="15.75" customHeight="1" thickTop="1" x14ac:dyDescent="0.3">
      <c r="A115" s="33"/>
      <c r="B115" s="33"/>
      <c r="C115" s="33"/>
      <c r="D115" s="45"/>
      <c r="E115" s="45"/>
      <c r="F115" s="45"/>
      <c r="G115" s="4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237"/>
      <c r="V115" s="53">
        <f>V114-'2023 Forecast'!O114</f>
        <v>0</v>
      </c>
      <c r="W115" s="238"/>
      <c r="X115" s="33"/>
      <c r="Y115" s="33"/>
      <c r="Z115" s="33"/>
      <c r="AB115" s="52"/>
    </row>
    <row r="116" spans="1:28" ht="15.75" customHeight="1" x14ac:dyDescent="0.3">
      <c r="A116" s="33"/>
      <c r="B116" s="33"/>
      <c r="C116" s="33"/>
      <c r="D116" s="45"/>
      <c r="E116" s="45"/>
      <c r="F116" s="45"/>
      <c r="G116" s="4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245"/>
      <c r="V116" s="33"/>
      <c r="W116" s="238"/>
      <c r="X116" s="33"/>
      <c r="Y116" s="33"/>
      <c r="Z116" s="33"/>
      <c r="AB116" s="52"/>
    </row>
    <row r="117" spans="1:28" ht="15.75" customHeight="1" x14ac:dyDescent="0.3">
      <c r="A117" s="33"/>
      <c r="B117" s="33"/>
      <c r="C117" s="33"/>
      <c r="D117" s="45"/>
      <c r="E117" s="45"/>
      <c r="F117" s="171"/>
      <c r="G117" s="33"/>
      <c r="H117" s="33"/>
      <c r="I117" s="262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237"/>
      <c r="V117" s="33"/>
      <c r="W117" s="238"/>
      <c r="X117" s="33"/>
      <c r="Y117" s="33"/>
      <c r="Z117" s="33"/>
      <c r="AB117" s="52"/>
    </row>
    <row r="118" spans="1:28" x14ac:dyDescent="0.3">
      <c r="A118" s="128" t="s">
        <v>45</v>
      </c>
      <c r="B118" s="99"/>
      <c r="C118" s="99"/>
      <c r="D118" s="99"/>
      <c r="E118" s="129"/>
      <c r="F118" s="99"/>
      <c r="G118" s="99"/>
      <c r="H118" s="90" t="s">
        <v>188</v>
      </c>
      <c r="I118" s="181" t="str">
        <f t="shared" ref="I118:W118" si="67">I7</f>
        <v>Jan</v>
      </c>
      <c r="J118" s="181" t="str">
        <f t="shared" si="67"/>
        <v>Feb</v>
      </c>
      <c r="K118" s="181" t="str">
        <f t="shared" si="67"/>
        <v>Mar</v>
      </c>
      <c r="L118" s="181" t="str">
        <f t="shared" si="67"/>
        <v>Apr</v>
      </c>
      <c r="M118" s="181" t="str">
        <f t="shared" si="67"/>
        <v>May</v>
      </c>
      <c r="N118" s="181" t="str">
        <f t="shared" si="67"/>
        <v>Jun</v>
      </c>
      <c r="O118" s="181" t="str">
        <f t="shared" si="67"/>
        <v>Jul</v>
      </c>
      <c r="P118" s="181" t="str">
        <f t="shared" si="67"/>
        <v>Aug</v>
      </c>
      <c r="Q118" s="181" t="str">
        <f t="shared" si="67"/>
        <v>Sep</v>
      </c>
      <c r="R118" s="181" t="str">
        <f t="shared" si="67"/>
        <v>Oct</v>
      </c>
      <c r="S118" s="181" t="str">
        <f t="shared" si="67"/>
        <v>Nov</v>
      </c>
      <c r="T118" s="181" t="str">
        <f t="shared" si="67"/>
        <v>Dec</v>
      </c>
      <c r="U118" s="226" t="str">
        <f t="shared" si="67"/>
        <v>TOTAL YR</v>
      </c>
      <c r="V118" s="181" t="str">
        <f t="shared" si="67"/>
        <v>TOTAL YR</v>
      </c>
      <c r="W118" s="234" t="str">
        <f t="shared" si="67"/>
        <v>2024 Budget</v>
      </c>
    </row>
    <row r="119" spans="1:28" x14ac:dyDescent="0.3">
      <c r="A119" s="99"/>
      <c r="B119" s="9" t="s">
        <v>46</v>
      </c>
      <c r="C119" s="99"/>
      <c r="D119" s="99"/>
      <c r="E119" s="99"/>
      <c r="F119" s="99"/>
      <c r="G119" s="99"/>
      <c r="H119" s="179">
        <f>'2023 Forecast'!O118</f>
        <v>15673.559865792971</v>
      </c>
      <c r="I119" s="89">
        <f>I114+H119</f>
        <v>25709.427890457453</v>
      </c>
      <c r="J119" s="89">
        <f t="shared" ref="J119:T119" si="68">J114+I119</f>
        <v>33995.107535183597</v>
      </c>
      <c r="K119" s="89">
        <f t="shared" si="68"/>
        <v>39481.501379021553</v>
      </c>
      <c r="L119" s="89">
        <f t="shared" si="68"/>
        <v>28374.076657469108</v>
      </c>
      <c r="M119" s="89">
        <f t="shared" si="68"/>
        <v>26412.703374112782</v>
      </c>
      <c r="N119" s="89">
        <f t="shared" si="68"/>
        <v>20586.013324214731</v>
      </c>
      <c r="O119" s="89">
        <f t="shared" si="68"/>
        <v>19213.649882525267</v>
      </c>
      <c r="P119" s="89">
        <f t="shared" si="68"/>
        <v>18272.902092231579</v>
      </c>
      <c r="Q119" s="89">
        <f t="shared" si="68"/>
        <v>20159.075872462159</v>
      </c>
      <c r="R119" s="89">
        <f t="shared" si="68"/>
        <v>14458.165087143314</v>
      </c>
      <c r="S119" s="89">
        <f t="shared" si="68"/>
        <v>9365.0020248611709</v>
      </c>
      <c r="T119" s="89">
        <f t="shared" si="68"/>
        <v>16574.626054923323</v>
      </c>
      <c r="U119" s="338">
        <f>T119</f>
        <v>16574.626054923323</v>
      </c>
      <c r="V119" s="173">
        <f>'2023 Forecast'!O118</f>
        <v>15673.559865792971</v>
      </c>
      <c r="W119" s="81">
        <f>U119-V119</f>
        <v>901.06618913035163</v>
      </c>
    </row>
    <row r="120" spans="1:28" x14ac:dyDescent="0.3">
      <c r="A120" s="99"/>
      <c r="B120" s="130" t="s">
        <v>77</v>
      </c>
      <c r="C120" s="99"/>
      <c r="D120" s="131"/>
      <c r="E120" s="99"/>
      <c r="F120" s="99"/>
      <c r="G120" s="99"/>
      <c r="H120" s="179">
        <f>'2023 Forecast'!O119</f>
        <v>12478.27</v>
      </c>
      <c r="I120" s="89">
        <f t="shared" ref="I120" si="69">+H120</f>
        <v>12478.27</v>
      </c>
      <c r="J120" s="89">
        <f t="shared" ref="J120" si="70">+I120</f>
        <v>12478.27</v>
      </c>
      <c r="K120" s="89">
        <f t="shared" ref="K120:T120" si="71">+J120</f>
        <v>12478.27</v>
      </c>
      <c r="L120" s="89">
        <f t="shared" si="71"/>
        <v>12478.27</v>
      </c>
      <c r="M120" s="89">
        <f t="shared" si="71"/>
        <v>12478.27</v>
      </c>
      <c r="N120" s="89">
        <f t="shared" si="71"/>
        <v>12478.27</v>
      </c>
      <c r="O120" s="89">
        <f t="shared" si="71"/>
        <v>12478.27</v>
      </c>
      <c r="P120" s="89">
        <f t="shared" ref="P120" si="72">+O120</f>
        <v>12478.27</v>
      </c>
      <c r="Q120" s="89">
        <f t="shared" ref="Q120" si="73">+P120</f>
        <v>12478.27</v>
      </c>
      <c r="R120" s="89">
        <f t="shared" ref="R120" si="74">+Q120</f>
        <v>12478.27</v>
      </c>
      <c r="S120" s="89">
        <f t="shared" ref="S120" si="75">+R120</f>
        <v>12478.27</v>
      </c>
      <c r="T120" s="89">
        <f t="shared" si="71"/>
        <v>12478.27</v>
      </c>
      <c r="U120" s="92">
        <f>T120</f>
        <v>12478.27</v>
      </c>
      <c r="V120" s="89">
        <f>'2023 Forecast'!O119</f>
        <v>12478.27</v>
      </c>
      <c r="W120" s="81">
        <f>U120-V120</f>
        <v>0</v>
      </c>
    </row>
    <row r="121" spans="1:28" ht="7.5" customHeight="1" x14ac:dyDescent="0.3">
      <c r="A121" s="99"/>
      <c r="B121" s="99"/>
      <c r="C121" s="99"/>
      <c r="D121" s="99"/>
      <c r="E121" s="99"/>
      <c r="F121" s="99"/>
      <c r="G121" s="9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227"/>
      <c r="V121" s="59"/>
      <c r="W121" s="228"/>
    </row>
    <row r="122" spans="1:28" ht="14.4" thickBot="1" x14ac:dyDescent="0.35">
      <c r="A122" s="99"/>
      <c r="B122" s="99"/>
      <c r="C122" s="99"/>
      <c r="D122" s="132"/>
      <c r="E122" s="99"/>
      <c r="F122" s="99"/>
      <c r="G122" s="99"/>
      <c r="H122" s="12">
        <f t="shared" ref="H122" si="76">SUM(H118:H121)</f>
        <v>28151.82986579297</v>
      </c>
      <c r="I122" s="12">
        <f t="shared" ref="I122:T122" si="77">SUM(I118:I121)</f>
        <v>38187.69789045745</v>
      </c>
      <c r="J122" s="12">
        <f t="shared" si="77"/>
        <v>46473.377535183594</v>
      </c>
      <c r="K122" s="12">
        <f t="shared" si="77"/>
        <v>51959.771379021549</v>
      </c>
      <c r="L122" s="12">
        <f t="shared" ref="L122:R122" si="78">SUM(L118:L121)</f>
        <v>40852.346657469112</v>
      </c>
      <c r="M122" s="12">
        <f t="shared" si="78"/>
        <v>38890.973374112786</v>
      </c>
      <c r="N122" s="12">
        <f t="shared" si="78"/>
        <v>33064.283324214732</v>
      </c>
      <c r="O122" s="12">
        <f t="shared" si="78"/>
        <v>31691.919882525268</v>
      </c>
      <c r="P122" s="12">
        <f t="shared" si="78"/>
        <v>30751.17209223158</v>
      </c>
      <c r="Q122" s="12">
        <f t="shared" si="78"/>
        <v>32637.34587246216</v>
      </c>
      <c r="R122" s="12">
        <f t="shared" si="78"/>
        <v>26936.435087143313</v>
      </c>
      <c r="S122" s="12">
        <f t="shared" si="77"/>
        <v>21843.272024861173</v>
      </c>
      <c r="T122" s="12">
        <f t="shared" si="77"/>
        <v>29052.896054923323</v>
      </c>
      <c r="U122" s="94">
        <f t="shared" ref="U122:W122" si="79">SUM(U118:U121)</f>
        <v>29052.896054923323</v>
      </c>
      <c r="V122" s="12">
        <f t="shared" si="79"/>
        <v>28151.82986579297</v>
      </c>
      <c r="W122" s="229">
        <f t="shared" si="79"/>
        <v>901.06618913035163</v>
      </c>
    </row>
    <row r="123" spans="1:28" ht="14.4" thickTop="1" x14ac:dyDescent="0.3">
      <c r="E123" s="99"/>
      <c r="F123" s="99"/>
      <c r="G123" s="99"/>
      <c r="H123" s="1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52">
        <f>H122+U114</f>
        <v>29052.896054923385</v>
      </c>
      <c r="V123" s="236"/>
      <c r="W123" s="96"/>
    </row>
    <row r="124" spans="1:28" x14ac:dyDescent="0.3">
      <c r="H124" s="11"/>
      <c r="I124" s="135"/>
      <c r="U124" s="101">
        <f>U123-U122</f>
        <v>6.184563972055912E-11</v>
      </c>
      <c r="V124" s="101"/>
      <c r="W124" s="5"/>
    </row>
    <row r="125" spans="1:28" x14ac:dyDescent="0.3">
      <c r="U125" s="135"/>
      <c r="V125" s="102"/>
      <c r="W125" s="60"/>
    </row>
    <row r="126" spans="1:28" x14ac:dyDescent="0.3">
      <c r="A126" s="133" t="s">
        <v>80</v>
      </c>
      <c r="I126" s="180" t="s">
        <v>106</v>
      </c>
      <c r="J126" s="166"/>
      <c r="K126" s="166"/>
      <c r="L126" s="166"/>
      <c r="M126" s="166"/>
      <c r="N126" s="166"/>
      <c r="O126" s="167"/>
      <c r="P126" s="168"/>
      <c r="Q126" s="166"/>
      <c r="R126" s="166"/>
      <c r="S126" s="166"/>
      <c r="T126" s="166"/>
      <c r="U126" s="169"/>
      <c r="V126" s="101"/>
      <c r="W126" s="53"/>
    </row>
    <row r="127" spans="1:28" x14ac:dyDescent="0.3">
      <c r="B127" s="25" t="s">
        <v>81</v>
      </c>
      <c r="I127" s="74">
        <f t="shared" ref="I127:N127" si="80">H132</f>
        <v>0</v>
      </c>
      <c r="J127" s="74">
        <f t="shared" si="80"/>
        <v>0</v>
      </c>
      <c r="K127" s="74">
        <f t="shared" si="80"/>
        <v>0</v>
      </c>
      <c r="L127" s="74">
        <f t="shared" si="80"/>
        <v>20000</v>
      </c>
      <c r="M127" s="74">
        <f t="shared" si="80"/>
        <v>40107.142857142855</v>
      </c>
      <c r="N127" s="74">
        <f t="shared" si="80"/>
        <v>50329.164540816324</v>
      </c>
      <c r="O127" s="74">
        <f t="shared" ref="O127:T127" si="81">N132</f>
        <v>50598.785065142125</v>
      </c>
      <c r="P127" s="74">
        <f t="shared" si="81"/>
        <v>50878.88548246702</v>
      </c>
      <c r="Q127" s="74">
        <f t="shared" si="81"/>
        <v>51160.536455673537</v>
      </c>
      <c r="R127" s="74">
        <f t="shared" si="81"/>
        <v>51434.610758114643</v>
      </c>
      <c r="S127" s="74">
        <f t="shared" si="81"/>
        <v>51719.33806766849</v>
      </c>
      <c r="T127" s="74">
        <f t="shared" si="81"/>
        <v>41996.405950173859</v>
      </c>
      <c r="U127" s="165">
        <f>H132</f>
        <v>0</v>
      </c>
    </row>
    <row r="128" spans="1:28" x14ac:dyDescent="0.3">
      <c r="C128" s="110" t="s">
        <v>84</v>
      </c>
      <c r="I128" s="50">
        <f t="shared" ref="I128:T128" si="82">I130-I129</f>
        <v>0</v>
      </c>
      <c r="J128" s="50">
        <f t="shared" si="82"/>
        <v>0</v>
      </c>
      <c r="K128" s="50">
        <f t="shared" si="82"/>
        <v>0</v>
      </c>
      <c r="L128" s="50">
        <f t="shared" si="82"/>
        <v>-107.14285714285717</v>
      </c>
      <c r="M128" s="50">
        <f t="shared" si="82"/>
        <v>-222.0216836734694</v>
      </c>
      <c r="N128" s="50">
        <f t="shared" si="82"/>
        <v>-269.6205243258018</v>
      </c>
      <c r="O128" s="50">
        <f t="shared" si="82"/>
        <v>-280.10041732489395</v>
      </c>
      <c r="P128" s="50">
        <f t="shared" si="82"/>
        <v>-281.65097320651387</v>
      </c>
      <c r="Q128" s="50">
        <f t="shared" si="82"/>
        <v>-274.07430244110827</v>
      </c>
      <c r="R128" s="50">
        <f t="shared" si="82"/>
        <v>-284.72730955384895</v>
      </c>
      <c r="S128" s="50">
        <f t="shared" si="82"/>
        <v>-277.06788250536698</v>
      </c>
      <c r="T128" s="50">
        <f t="shared" si="82"/>
        <v>-232.48010436703387</v>
      </c>
      <c r="U128" s="149">
        <f>SUM(I128:T128)</f>
        <v>-2228.8860545408943</v>
      </c>
    </row>
    <row r="129" spans="3:27" x14ac:dyDescent="0.3">
      <c r="C129" s="110" t="s">
        <v>83</v>
      </c>
      <c r="F129" s="134"/>
      <c r="G129" s="98">
        <f>'2023 Forecast'!G128</f>
        <v>6.5000000000000002E-2</v>
      </c>
      <c r="H129" s="109"/>
      <c r="I129" s="111">
        <f>($G129*I134/364)*I127</f>
        <v>0</v>
      </c>
      <c r="J129" s="111">
        <f t="shared" ref="J129:T129" si="83">($G129*J134/364)*J127</f>
        <v>0</v>
      </c>
      <c r="K129" s="111">
        <f t="shared" si="83"/>
        <v>0</v>
      </c>
      <c r="L129" s="111">
        <f t="shared" si="83"/>
        <v>107.14285714285717</v>
      </c>
      <c r="M129" s="111">
        <f t="shared" si="83"/>
        <v>222.0216836734694</v>
      </c>
      <c r="N129" s="111">
        <f t="shared" si="83"/>
        <v>269.6205243258018</v>
      </c>
      <c r="O129" s="111">
        <f t="shared" si="83"/>
        <v>280.10041732489395</v>
      </c>
      <c r="P129" s="111">
        <f t="shared" si="83"/>
        <v>281.65097320651387</v>
      </c>
      <c r="Q129" s="111">
        <f t="shared" si="83"/>
        <v>274.07430244110827</v>
      </c>
      <c r="R129" s="111">
        <f t="shared" si="83"/>
        <v>284.72730955384895</v>
      </c>
      <c r="S129" s="111">
        <f t="shared" si="83"/>
        <v>277.06788250536698</v>
      </c>
      <c r="T129" s="111">
        <f t="shared" si="83"/>
        <v>232.48010436703387</v>
      </c>
      <c r="U129" s="151">
        <f>SUM(I129:T129)</f>
        <v>2228.8860545408943</v>
      </c>
    </row>
    <row r="130" spans="3:27" x14ac:dyDescent="0.3">
      <c r="D130" s="25" t="s">
        <v>85</v>
      </c>
      <c r="I130" s="50">
        <f>'2023 Forecast'!I129</f>
        <v>0</v>
      </c>
      <c r="J130" s="50">
        <f>I130</f>
        <v>0</v>
      </c>
      <c r="K130" s="50">
        <f t="shared" ref="K130:T130" si="84">J130</f>
        <v>0</v>
      </c>
      <c r="L130" s="50">
        <f t="shared" si="84"/>
        <v>0</v>
      </c>
      <c r="M130" s="50">
        <f t="shared" si="84"/>
        <v>0</v>
      </c>
      <c r="N130" s="50">
        <f>M130*0</f>
        <v>0</v>
      </c>
      <c r="O130" s="50">
        <f t="shared" si="84"/>
        <v>0</v>
      </c>
      <c r="P130" s="50">
        <f t="shared" si="84"/>
        <v>0</v>
      </c>
      <c r="Q130" s="50">
        <f t="shared" si="84"/>
        <v>0</v>
      </c>
      <c r="R130" s="50">
        <f t="shared" si="84"/>
        <v>0</v>
      </c>
      <c r="S130" s="50">
        <f t="shared" si="84"/>
        <v>0</v>
      </c>
      <c r="T130" s="50">
        <f t="shared" si="84"/>
        <v>0</v>
      </c>
      <c r="U130" s="149">
        <f>SUM(I130:T130)</f>
        <v>0</v>
      </c>
      <c r="V130" s="60"/>
      <c r="AA130" s="55"/>
    </row>
    <row r="131" spans="3:27" x14ac:dyDescent="0.3">
      <c r="C131" s="25" t="s">
        <v>82</v>
      </c>
      <c r="G131" s="336" t="s">
        <v>194</v>
      </c>
      <c r="H131" s="105"/>
      <c r="I131" s="42">
        <v>0</v>
      </c>
      <c r="J131" s="42">
        <v>0</v>
      </c>
      <c r="K131" s="42">
        <v>20000</v>
      </c>
      <c r="L131" s="42">
        <v>20000</v>
      </c>
      <c r="M131" s="42">
        <v>10000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50">
        <f>-S144</f>
        <v>-10000</v>
      </c>
      <c r="T131" s="42">
        <v>0</v>
      </c>
      <c r="U131" s="149">
        <f>SUM(I131:T131)</f>
        <v>40000</v>
      </c>
    </row>
    <row r="132" spans="3:27" x14ac:dyDescent="0.3">
      <c r="D132" s="110" t="s">
        <v>86</v>
      </c>
      <c r="H132" s="112">
        <f>'2023 Forecast'!M131*1</f>
        <v>0</v>
      </c>
      <c r="I132" s="49">
        <f>I127+I131-I128</f>
        <v>0</v>
      </c>
      <c r="J132" s="49">
        <f t="shared" ref="J132:U132" si="85">J127+J131-J128</f>
        <v>0</v>
      </c>
      <c r="K132" s="49">
        <f t="shared" si="85"/>
        <v>20000</v>
      </c>
      <c r="L132" s="49">
        <f t="shared" si="85"/>
        <v>40107.142857142855</v>
      </c>
      <c r="M132" s="49">
        <f t="shared" si="85"/>
        <v>50329.164540816324</v>
      </c>
      <c r="N132" s="49">
        <f t="shared" si="85"/>
        <v>50598.785065142125</v>
      </c>
      <c r="O132" s="49">
        <f t="shared" si="85"/>
        <v>50878.88548246702</v>
      </c>
      <c r="P132" s="49">
        <f t="shared" si="85"/>
        <v>51160.536455673537</v>
      </c>
      <c r="Q132" s="49">
        <f t="shared" si="85"/>
        <v>51434.610758114643</v>
      </c>
      <c r="R132" s="49">
        <f t="shared" si="85"/>
        <v>51719.33806766849</v>
      </c>
      <c r="S132" s="49">
        <f t="shared" si="85"/>
        <v>41996.405950173859</v>
      </c>
      <c r="T132" s="49">
        <f t="shared" si="85"/>
        <v>42228.88605454089</v>
      </c>
      <c r="U132" s="150">
        <f t="shared" si="85"/>
        <v>42228.886054540897</v>
      </c>
    </row>
    <row r="133" spans="3:27" x14ac:dyDescent="0.3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337"/>
    </row>
    <row r="134" spans="3:27" x14ac:dyDescent="0.3">
      <c r="H134" s="109"/>
      <c r="I134" s="160">
        <v>31</v>
      </c>
      <c r="J134" s="160">
        <v>28</v>
      </c>
      <c r="K134" s="160">
        <v>31</v>
      </c>
      <c r="L134" s="160">
        <v>30</v>
      </c>
      <c r="M134" s="160">
        <v>31</v>
      </c>
      <c r="N134" s="160">
        <v>30</v>
      </c>
      <c r="O134" s="160">
        <v>31</v>
      </c>
      <c r="P134" s="160">
        <v>31</v>
      </c>
      <c r="Q134" s="160">
        <v>30</v>
      </c>
      <c r="R134" s="160">
        <v>31</v>
      </c>
      <c r="S134" s="160">
        <v>30</v>
      </c>
      <c r="T134" s="160">
        <v>31</v>
      </c>
      <c r="U134" s="158"/>
      <c r="V134" s="159"/>
    </row>
    <row r="135" spans="3:27" x14ac:dyDescent="0.3">
      <c r="I135" s="42"/>
      <c r="J135" s="42"/>
      <c r="K135" s="42"/>
      <c r="L135" s="42"/>
      <c r="M135" s="42"/>
      <c r="N135" s="42"/>
      <c r="O135" s="55"/>
      <c r="P135" s="55"/>
    </row>
    <row r="136" spans="3:27" x14ac:dyDescent="0.3">
      <c r="F136" s="156" t="str">
        <f>E106</f>
        <v>2024 - Project Spending Summary</v>
      </c>
      <c r="G136" s="157"/>
      <c r="I136" s="25"/>
    </row>
    <row r="137" spans="3:27" x14ac:dyDescent="0.3">
      <c r="G137" s="335" t="s">
        <v>191</v>
      </c>
      <c r="H137" s="146">
        <f>L137</f>
        <v>0</v>
      </c>
      <c r="I137" s="42">
        <v>0</v>
      </c>
      <c r="J137" s="42">
        <v>0</v>
      </c>
      <c r="K137" s="42">
        <f>12000*0</f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136" t="s">
        <v>195</v>
      </c>
    </row>
    <row r="138" spans="3:27" x14ac:dyDescent="0.3">
      <c r="F138" s="144"/>
      <c r="G138" s="144" t="s">
        <v>192</v>
      </c>
      <c r="H138" s="155">
        <v>0</v>
      </c>
      <c r="I138" s="42">
        <v>0</v>
      </c>
      <c r="J138" s="42">
        <v>0</v>
      </c>
      <c r="K138" s="42">
        <v>0</v>
      </c>
      <c r="L138" s="42">
        <v>2000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136"/>
    </row>
    <row r="139" spans="3:27" x14ac:dyDescent="0.3">
      <c r="G139" s="145" t="s">
        <v>133</v>
      </c>
      <c r="H139" s="155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136"/>
    </row>
    <row r="140" spans="3:27" x14ac:dyDescent="0.3">
      <c r="G140" s="144" t="s">
        <v>169</v>
      </c>
      <c r="H140" s="155">
        <v>0</v>
      </c>
      <c r="I140" s="42">
        <v>0</v>
      </c>
      <c r="J140" s="42">
        <v>0</v>
      </c>
      <c r="K140" s="42">
        <v>0</v>
      </c>
      <c r="L140" s="42">
        <v>4000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136"/>
    </row>
    <row r="141" spans="3:27" x14ac:dyDescent="0.3">
      <c r="G141" s="144" t="s">
        <v>197</v>
      </c>
      <c r="H141" s="155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3500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136"/>
    </row>
    <row r="142" spans="3:27" x14ac:dyDescent="0.3">
      <c r="G142" s="144" t="s">
        <v>193</v>
      </c>
      <c r="H142" s="155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6500</v>
      </c>
      <c r="S142" s="42">
        <v>0</v>
      </c>
      <c r="T142" s="42">
        <v>0</v>
      </c>
      <c r="U142" s="136"/>
    </row>
    <row r="143" spans="3:27" x14ac:dyDescent="0.3">
      <c r="G143" s="145" t="s">
        <v>98</v>
      </c>
      <c r="H143" s="155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f>3500*0</f>
        <v>0</v>
      </c>
      <c r="R143" s="42">
        <v>0</v>
      </c>
      <c r="S143" s="42">
        <v>0</v>
      </c>
      <c r="T143" s="42">
        <v>0</v>
      </c>
      <c r="U143" s="136"/>
    </row>
    <row r="144" spans="3:27" x14ac:dyDescent="0.3">
      <c r="G144" s="145" t="s">
        <v>196</v>
      </c>
      <c r="H144" s="155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10000</v>
      </c>
      <c r="T144" s="42">
        <v>0</v>
      </c>
      <c r="U144" s="136"/>
    </row>
    <row r="145" spans="8:20" ht="7.5" customHeight="1" x14ac:dyDescent="0.3"/>
    <row r="146" spans="8:20" x14ac:dyDescent="0.3">
      <c r="H146" s="49">
        <f t="shared" ref="H146:T146" si="86">SUM(H137:H145)</f>
        <v>0</v>
      </c>
      <c r="I146" s="49">
        <f t="shared" si="86"/>
        <v>0</v>
      </c>
      <c r="J146" s="49">
        <f t="shared" si="86"/>
        <v>0</v>
      </c>
      <c r="K146" s="49">
        <f t="shared" si="86"/>
        <v>0</v>
      </c>
      <c r="L146" s="49">
        <f t="shared" si="86"/>
        <v>6000</v>
      </c>
      <c r="M146" s="49">
        <f t="shared" si="86"/>
        <v>3500</v>
      </c>
      <c r="N146" s="49">
        <f t="shared" si="86"/>
        <v>0</v>
      </c>
      <c r="O146" s="49">
        <f t="shared" si="86"/>
        <v>0</v>
      </c>
      <c r="P146" s="49">
        <f t="shared" si="86"/>
        <v>0</v>
      </c>
      <c r="Q146" s="49">
        <f t="shared" si="86"/>
        <v>0</v>
      </c>
      <c r="R146" s="49">
        <f t="shared" si="86"/>
        <v>6500</v>
      </c>
      <c r="S146" s="49">
        <f t="shared" si="86"/>
        <v>10000</v>
      </c>
      <c r="T146" s="49">
        <f t="shared" si="86"/>
        <v>0</v>
      </c>
    </row>
    <row r="148" spans="8:20" x14ac:dyDescent="0.3">
      <c r="H148" s="55"/>
    </row>
    <row r="149" spans="8:20" ht="14.4" thickBot="1" x14ac:dyDescent="0.35"/>
    <row r="150" spans="8:20" ht="18" x14ac:dyDescent="0.35">
      <c r="I150" s="339" t="s">
        <v>198</v>
      </c>
      <c r="J150" s="340"/>
      <c r="K150" s="340"/>
      <c r="L150" s="340"/>
      <c r="M150" s="340"/>
      <c r="N150" s="340"/>
      <c r="O150" s="340"/>
      <c r="P150" s="341"/>
    </row>
    <row r="151" spans="8:20" ht="18" x14ac:dyDescent="0.35">
      <c r="I151" s="342" t="s">
        <v>199</v>
      </c>
      <c r="P151" s="343"/>
    </row>
    <row r="152" spans="8:20" ht="18" x14ac:dyDescent="0.35">
      <c r="I152" s="342" t="str">
        <f>"- Swimming pool repairs total "&amp;TEXT(SUM(K131:M131)/1000,"$0.0")&amp;" excluding any repayments."</f>
        <v>- Swimming pool repairs total $50.0 excluding any repayments.</v>
      </c>
      <c r="P152" s="343"/>
    </row>
    <row r="153" spans="8:20" ht="18" x14ac:dyDescent="0.35">
      <c r="I153" s="342" t="str">
        <f>"- The loan balance is "&amp;TEXT(U132/1000,"$0.0")&amp;" at Dec 2024"</f>
        <v>- The loan balance is $42.2 at Dec 2024</v>
      </c>
      <c r="P153" s="343"/>
    </row>
    <row r="154" spans="8:20" ht="18.600000000000001" thickBot="1" x14ac:dyDescent="0.4">
      <c r="I154" s="344" t="str">
        <f>"- Total cash balance is "&amp;TEXT(U122/1000,"$0.0")&amp;" at Dec 2024"</f>
        <v>- Total cash balance is $29.1 at Dec 2024</v>
      </c>
      <c r="J154" s="345"/>
      <c r="K154" s="345"/>
      <c r="L154" s="345"/>
      <c r="M154" s="345"/>
      <c r="N154" s="345"/>
      <c r="O154" s="345"/>
      <c r="P154" s="346"/>
    </row>
    <row r="161" spans="9:9" x14ac:dyDescent="0.3">
      <c r="I161" s="25"/>
    </row>
    <row r="162" spans="9:9" x14ac:dyDescent="0.3">
      <c r="I162" s="25"/>
    </row>
  </sheetData>
  <pageMargins left="0.25" right="0.25" top="0.75" bottom="0.75" header="0.3" footer="0.3"/>
  <pageSetup scale="42" fitToHeight="2" orientation="landscape" r:id="rId1"/>
  <headerFooter>
    <oddFooter>&amp;L&amp;D</oddFooter>
  </headerFooter>
  <rowBreaks count="1" manualBreakCount="1">
    <brk id="71" max="2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0952-3AA9-42B9-83EF-0004A746F131}">
  <sheetPr transitionEntry="1"/>
  <dimension ref="A1:AD164"/>
  <sheetViews>
    <sheetView topLeftCell="A101" zoomScale="110" zoomScaleNormal="110" workbookViewId="0">
      <selection activeCell="L28" sqref="L28"/>
    </sheetView>
  </sheetViews>
  <sheetFormatPr defaultColWidth="9.109375" defaultRowHeight="13.8" outlineLevelCol="1" x14ac:dyDescent="0.3"/>
  <cols>
    <col min="1" max="6" width="3" style="25" customWidth="1"/>
    <col min="7" max="7" width="25.5546875" style="25" customWidth="1"/>
    <col min="8" max="8" width="8.88671875" style="25" customWidth="1"/>
    <col min="9" max="20" width="8.88671875" style="26" customWidth="1" outlineLevel="1"/>
    <col min="21" max="21" width="12.5546875" style="26" customWidth="1"/>
    <col min="22" max="23" width="12.5546875" style="55" customWidth="1"/>
    <col min="24" max="24" width="2.6640625" style="26" customWidth="1"/>
    <col min="25" max="33" width="9.109375" style="26" customWidth="1"/>
    <col min="34" max="16384" width="9.109375" style="26"/>
  </cols>
  <sheetData>
    <row r="1" spans="1:30" x14ac:dyDescent="0.3">
      <c r="A1" s="4" t="s">
        <v>47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0"/>
      <c r="W1" s="30"/>
    </row>
    <row r="2" spans="1:30" x14ac:dyDescent="0.3">
      <c r="A2" s="4" t="s">
        <v>48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30"/>
    </row>
    <row r="3" spans="1:30" x14ac:dyDescent="0.3">
      <c r="A3" s="153" t="s">
        <v>204</v>
      </c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0"/>
    </row>
    <row r="4" spans="1:30" x14ac:dyDescent="0.3">
      <c r="A4" s="4"/>
      <c r="B4" s="6"/>
      <c r="C4" s="28"/>
      <c r="D4" s="28"/>
      <c r="E4" s="28"/>
      <c r="F4" s="28"/>
      <c r="G4" s="205">
        <v>45610.694790046298</v>
      </c>
      <c r="H4" s="28"/>
      <c r="I4" s="3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76"/>
      <c r="V4" s="374"/>
      <c r="W4" s="230" t="s">
        <v>40</v>
      </c>
      <c r="AA4" s="86"/>
    </row>
    <row r="5" spans="1:30" x14ac:dyDescent="0.3">
      <c r="A5" s="8"/>
      <c r="B5" s="31"/>
      <c r="C5" s="31"/>
      <c r="D5" s="31"/>
      <c r="E5" s="31"/>
      <c r="F5" s="31"/>
      <c r="G5" s="97">
        <f ca="1">NOW()</f>
        <v>45992.636546064816</v>
      </c>
      <c r="H5" s="31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7">
        <v>2025</v>
      </c>
      <c r="V5" s="88">
        <v>2024</v>
      </c>
      <c r="W5" s="231" t="s">
        <v>200</v>
      </c>
      <c r="X5" s="33"/>
    </row>
    <row r="6" spans="1:30" x14ac:dyDescent="0.3">
      <c r="A6" s="26"/>
      <c r="I6" s="34" t="s">
        <v>41</v>
      </c>
      <c r="J6" s="34" t="s">
        <v>41</v>
      </c>
      <c r="K6" s="34" t="s">
        <v>41</v>
      </c>
      <c r="L6" s="34" t="s">
        <v>41</v>
      </c>
      <c r="M6" s="34" t="s">
        <v>41</v>
      </c>
      <c r="N6" s="34" t="s">
        <v>41</v>
      </c>
      <c r="O6" s="34" t="s">
        <v>41</v>
      </c>
      <c r="P6" s="34" t="s">
        <v>41</v>
      </c>
      <c r="Q6" s="34" t="s">
        <v>41</v>
      </c>
      <c r="R6" s="34" t="s">
        <v>41</v>
      </c>
      <c r="S6" s="34" t="s">
        <v>41</v>
      </c>
      <c r="T6" s="34" t="s">
        <v>41</v>
      </c>
      <c r="U6" s="66" t="s">
        <v>41</v>
      </c>
      <c r="V6" s="37" t="s">
        <v>42</v>
      </c>
      <c r="W6" s="77" t="s">
        <v>43</v>
      </c>
      <c r="X6" s="33"/>
    </row>
    <row r="7" spans="1:30" s="38" customFormat="1" ht="14.4" thickBot="1" x14ac:dyDescent="0.35">
      <c r="A7" s="37"/>
      <c r="B7" s="37"/>
      <c r="C7" s="37"/>
      <c r="D7" s="37"/>
      <c r="E7" s="37"/>
      <c r="F7" s="37"/>
      <c r="G7" s="37"/>
      <c r="H7" s="37"/>
      <c r="I7" s="36" t="s">
        <v>35</v>
      </c>
      <c r="J7" s="36" t="s">
        <v>36</v>
      </c>
      <c r="K7" s="36" t="s">
        <v>37</v>
      </c>
      <c r="L7" s="36" t="s">
        <v>38</v>
      </c>
      <c r="M7" s="36" t="s">
        <v>39</v>
      </c>
      <c r="N7" s="36" t="s">
        <v>49</v>
      </c>
      <c r="O7" s="36" t="s">
        <v>50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68" t="s">
        <v>67</v>
      </c>
      <c r="V7" s="36" t="s">
        <v>67</v>
      </c>
      <c r="W7" s="78" t="s">
        <v>205</v>
      </c>
      <c r="X7" s="37"/>
    </row>
    <row r="8" spans="1:30" ht="15.75" customHeight="1" thickTop="1" x14ac:dyDescent="0.3">
      <c r="A8" s="33"/>
      <c r="B8" s="40" t="str">
        <f>'[3]2024 Forecast'!B8</f>
        <v>Ordinary Income/Expense</v>
      </c>
      <c r="C8" s="33"/>
      <c r="D8" s="33"/>
      <c r="E8" s="33"/>
      <c r="F8" s="33"/>
      <c r="G8" s="33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69"/>
      <c r="V8" s="41"/>
      <c r="W8" s="232"/>
      <c r="X8" s="33"/>
    </row>
    <row r="9" spans="1:30" ht="15.75" customHeight="1" x14ac:dyDescent="0.3">
      <c r="A9" s="33"/>
      <c r="B9" s="33"/>
      <c r="C9" s="40" t="str">
        <f>'[3]2024 Forecast'!C9</f>
        <v>Income</v>
      </c>
      <c r="D9" s="33"/>
      <c r="E9" s="33"/>
      <c r="F9" s="33"/>
      <c r="G9" s="33"/>
      <c r="H9" s="3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25"/>
      <c r="V9" s="24"/>
      <c r="W9" s="233"/>
    </row>
    <row r="10" spans="1:30" ht="15.75" customHeight="1" x14ac:dyDescent="0.3">
      <c r="A10" s="33"/>
      <c r="B10" s="33"/>
      <c r="C10" s="33"/>
      <c r="D10" s="39" t="str">
        <f>'[3]2024 Forecast'!D10</f>
        <v>Dues</v>
      </c>
      <c r="E10" s="33"/>
      <c r="F10" s="33"/>
      <c r="G10" s="33"/>
      <c r="H10" s="118" t="s">
        <v>218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25"/>
      <c r="V10" s="24"/>
      <c r="W10" s="233"/>
      <c r="Z10" s="140"/>
      <c r="AA10" s="140"/>
      <c r="AB10" s="140"/>
      <c r="AC10" s="38"/>
    </row>
    <row r="11" spans="1:30" ht="15.75" customHeight="1" x14ac:dyDescent="0.3">
      <c r="A11" s="33"/>
      <c r="B11" s="33"/>
      <c r="C11" s="33"/>
      <c r="D11" s="33"/>
      <c r="E11" s="147" t="str">
        <f>'[3]2024 Forecast'!E11</f>
        <v>Dues Adjustments</v>
      </c>
      <c r="F11" s="33"/>
      <c r="G11" s="33"/>
      <c r="H11" s="118"/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70">
        <f>SUM(I11:T11)</f>
        <v>0</v>
      </c>
      <c r="V11" s="50">
        <f>'[3]2024 Forecast'!O11</f>
        <v>0</v>
      </c>
      <c r="W11" s="82">
        <f t="shared" ref="W11" si="0">U11-V11</f>
        <v>0</v>
      </c>
      <c r="Z11" s="321" t="s">
        <v>101</v>
      </c>
      <c r="AA11" s="321" t="s">
        <v>102</v>
      </c>
      <c r="AB11" s="321" t="s">
        <v>103</v>
      </c>
      <c r="AC11" s="38"/>
    </row>
    <row r="12" spans="1:30" ht="15.75" customHeight="1" x14ac:dyDescent="0.3">
      <c r="A12" s="33"/>
      <c r="B12" s="33"/>
      <c r="C12" s="33"/>
      <c r="D12" s="33"/>
      <c r="E12" s="39" t="str">
        <f>'[3]2024 Forecast'!E12</f>
        <v>HOA Dues</v>
      </c>
      <c r="F12" s="33"/>
      <c r="G12" s="33"/>
      <c r="H12" s="113">
        <f>'[3]2024 Forecast'!H12*1.03</f>
        <v>102.2640135</v>
      </c>
      <c r="I12" s="42">
        <f>(10*$H12*3)+($AB12*$H12)+(2*$H12*12)+146</f>
        <v>14769.753930500001</v>
      </c>
      <c r="J12" s="42">
        <f>(H12*AB12)+(H12*25)+1000</f>
        <v>12658.097539</v>
      </c>
      <c r="K12" s="50">
        <f>J12</f>
        <v>12658.097539</v>
      </c>
      <c r="L12" s="42">
        <f>($AA12*$H12*1)+($AB12*$H12)+1500-270</f>
        <v>12990.3615525</v>
      </c>
      <c r="M12" s="42">
        <f>($AA12*$H12*1)+($AB12*$H12)</f>
        <v>11760.3615525</v>
      </c>
      <c r="N12" s="50">
        <f>M12</f>
        <v>11760.3615525</v>
      </c>
      <c r="O12" s="42">
        <f>($AA12*$H12*1)+($AB12*$H12)</f>
        <v>11760.3615525</v>
      </c>
      <c r="P12" s="50">
        <f>N12</f>
        <v>11760.3615525</v>
      </c>
      <c r="Q12" s="50">
        <f>P12</f>
        <v>11760.3615525</v>
      </c>
      <c r="R12" s="42">
        <f>($AA12*$H12*1)+($AB12*$H12)</f>
        <v>11760.3615525</v>
      </c>
      <c r="S12" s="50">
        <f>Q12</f>
        <v>11760.3615525</v>
      </c>
      <c r="T12" s="355">
        <f>S12+152</f>
        <v>11912.3615525</v>
      </c>
      <c r="U12" s="240">
        <f>SUM(I12:T12)</f>
        <v>147311.20298100001</v>
      </c>
      <c r="V12" s="239">
        <f>'[3]2024 Forecast'!O12</f>
        <v>142970.92180000001</v>
      </c>
      <c r="W12" s="241">
        <f>U12-V12</f>
        <v>4340.2811809999985</v>
      </c>
      <c r="Z12" s="37">
        <f>'[3]2023 Forecast'!U12</f>
        <v>5</v>
      </c>
      <c r="AA12" s="37">
        <f>'[3]2023 Forecast'!V12</f>
        <v>26</v>
      </c>
      <c r="AB12" s="37">
        <f>'[3]2023 Forecast'!W12</f>
        <v>89</v>
      </c>
      <c r="AC12" s="37">
        <f>SUM(Z12:AB12)</f>
        <v>120</v>
      </c>
      <c r="AD12" s="55">
        <f>AC12*H12*12</f>
        <v>147260.17944000001</v>
      </c>
    </row>
    <row r="13" spans="1:30" ht="15.75" customHeight="1" x14ac:dyDescent="0.3">
      <c r="A13" s="33"/>
      <c r="B13" s="33"/>
      <c r="C13" s="33"/>
      <c r="D13" s="33"/>
      <c r="E13" s="39" t="str">
        <f>'[3]2024 Forecast'!E13</f>
        <v>Late Payments (Dues)</v>
      </c>
      <c r="F13" s="33"/>
      <c r="G13" s="33"/>
      <c r="H13" s="154"/>
      <c r="I13" s="42">
        <f>H12*-2</f>
        <v>-204.52802700000001</v>
      </c>
      <c r="J13" s="50">
        <f>I13</f>
        <v>-204.52802700000001</v>
      </c>
      <c r="K13" s="50">
        <f t="shared" ref="K13:S13" si="1">J13</f>
        <v>-204.52802700000001</v>
      </c>
      <c r="L13" s="50">
        <f t="shared" si="1"/>
        <v>-204.52802700000001</v>
      </c>
      <c r="M13" s="50">
        <f t="shared" si="1"/>
        <v>-204.52802700000001</v>
      </c>
      <c r="N13" s="50">
        <f t="shared" si="1"/>
        <v>-204.52802700000001</v>
      </c>
      <c r="O13" s="50">
        <f t="shared" si="1"/>
        <v>-204.52802700000001</v>
      </c>
      <c r="P13" s="50">
        <f t="shared" si="1"/>
        <v>-204.52802700000001</v>
      </c>
      <c r="Q13" s="50">
        <f t="shared" si="1"/>
        <v>-204.52802700000001</v>
      </c>
      <c r="R13" s="50">
        <f t="shared" si="1"/>
        <v>-204.52802700000001</v>
      </c>
      <c r="S13" s="50">
        <f t="shared" si="1"/>
        <v>-204.52802700000001</v>
      </c>
      <c r="T13" s="50">
        <f>S13</f>
        <v>-204.52802700000001</v>
      </c>
      <c r="U13" s="70">
        <f>SUM(I13:T13)</f>
        <v>-2454.3363240000003</v>
      </c>
      <c r="V13" s="50">
        <f>'[3]2024 Forecast'!O13</f>
        <v>-2400</v>
      </c>
      <c r="W13" s="82">
        <f t="shared" ref="W13:W20" si="2">U13-V13</f>
        <v>-54.336324000000332</v>
      </c>
      <c r="Y13" s="243" t="s">
        <v>206</v>
      </c>
      <c r="AD13" s="53">
        <f>AD12-U12</f>
        <v>-51.023541000002297</v>
      </c>
    </row>
    <row r="14" spans="1:30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71"/>
      <c r="V14" s="376"/>
      <c r="W14" s="83"/>
      <c r="Z14" s="116"/>
      <c r="AD14" s="117"/>
    </row>
    <row r="15" spans="1:30" ht="15.75" customHeight="1" x14ac:dyDescent="0.3">
      <c r="A15" s="33"/>
      <c r="B15" s="33"/>
      <c r="C15" s="33"/>
      <c r="D15" s="40" t="str">
        <f>'[3]2024 Forecast'!D15</f>
        <v>Total Dues</v>
      </c>
      <c r="E15" s="33"/>
      <c r="F15" s="33"/>
      <c r="G15" s="33"/>
      <c r="H15" s="33"/>
      <c r="I15" s="44">
        <f>SUM(I10:I14)</f>
        <v>14565.225903500001</v>
      </c>
      <c r="J15" s="44">
        <f t="shared" ref="J15:W15" si="3">SUM(J10:J14)</f>
        <v>12453.569512</v>
      </c>
      <c r="K15" s="44">
        <f t="shared" si="3"/>
        <v>12453.569512</v>
      </c>
      <c r="L15" s="44">
        <f t="shared" si="3"/>
        <v>12785.8335255</v>
      </c>
      <c r="M15" s="44">
        <f t="shared" si="3"/>
        <v>11555.8335255</v>
      </c>
      <c r="N15" s="44">
        <f t="shared" si="3"/>
        <v>11555.8335255</v>
      </c>
      <c r="O15" s="44">
        <f t="shared" si="3"/>
        <v>11555.8335255</v>
      </c>
      <c r="P15" s="44">
        <f t="shared" si="3"/>
        <v>11555.8335255</v>
      </c>
      <c r="Q15" s="44">
        <f t="shared" si="3"/>
        <v>11555.8335255</v>
      </c>
      <c r="R15" s="44">
        <f t="shared" si="3"/>
        <v>11555.8335255</v>
      </c>
      <c r="S15" s="44">
        <f t="shared" si="3"/>
        <v>11555.8335255</v>
      </c>
      <c r="T15" s="44">
        <f t="shared" si="3"/>
        <v>11707.8335255</v>
      </c>
      <c r="U15" s="72">
        <f t="shared" si="3"/>
        <v>144856.86665700001</v>
      </c>
      <c r="V15" s="44">
        <f t="shared" si="3"/>
        <v>140570.92180000001</v>
      </c>
      <c r="W15" s="84">
        <f t="shared" si="3"/>
        <v>4285.9448569999986</v>
      </c>
      <c r="Y15" s="242">
        <f>U15-V15</f>
        <v>4285.944856999995</v>
      </c>
    </row>
    <row r="16" spans="1:30" ht="15.75" customHeight="1" x14ac:dyDescent="0.3">
      <c r="A16" s="33"/>
      <c r="B16" s="33"/>
      <c r="C16" s="33"/>
      <c r="D16" s="33"/>
      <c r="E16" s="33"/>
      <c r="F16" s="33"/>
      <c r="G16" s="45"/>
      <c r="H16" s="33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70"/>
      <c r="V16" s="50"/>
      <c r="W16" s="82"/>
      <c r="X16" s="33"/>
      <c r="Y16" s="243"/>
    </row>
    <row r="17" spans="1:25" ht="15.75" customHeight="1" x14ac:dyDescent="0.3">
      <c r="A17" s="33"/>
      <c r="B17" s="33"/>
      <c r="C17" s="33"/>
      <c r="D17" s="39" t="str">
        <f>'[3]2024 Forecast'!D17</f>
        <v>Interest Income</v>
      </c>
      <c r="E17" s="33"/>
      <c r="F17" s="33"/>
      <c r="G17" s="33"/>
      <c r="H17" s="174">
        <f>'[3]2024 Forecast'!H17</f>
        <v>1.1599999999999999E-2</v>
      </c>
      <c r="I17" s="50">
        <f>$H$17*H122/12</f>
        <v>12.250745802189881</v>
      </c>
      <c r="J17" s="50">
        <f t="shared" ref="J17:T17" si="4">$H$17*I122/12</f>
        <v>19.275979674293108</v>
      </c>
      <c r="K17" s="50">
        <f t="shared" si="4"/>
        <v>21.759203427356038</v>
      </c>
      <c r="L17" s="50">
        <f t="shared" si="4"/>
        <v>23.553660963380256</v>
      </c>
      <c r="M17" s="50">
        <f t="shared" si="4"/>
        <v>19.541669354739309</v>
      </c>
      <c r="N17" s="50">
        <f t="shared" si="4"/>
        <v>22.269391820876663</v>
      </c>
      <c r="O17" s="50">
        <f t="shared" si="4"/>
        <v>17.018293752064626</v>
      </c>
      <c r="P17" s="50">
        <f t="shared" si="4"/>
        <v>14.106015621786065</v>
      </c>
      <c r="Q17" s="50">
        <f t="shared" si="4"/>
        <v>12.32048357998157</v>
      </c>
      <c r="R17" s="50">
        <f t="shared" si="4"/>
        <v>10.842798899869999</v>
      </c>
      <c r="S17" s="50">
        <f t="shared" si="4"/>
        <v>12.038645791234321</v>
      </c>
      <c r="T17" s="50">
        <f t="shared" si="4"/>
        <v>16.927928667926952</v>
      </c>
      <c r="U17" s="70">
        <f t="shared" ref="U17:U20" si="5">SUM(I17:T17)</f>
        <v>201.90481735569881</v>
      </c>
      <c r="V17" s="50">
        <f>'[3]2024 Forecast'!O17</f>
        <v>516.89351261022227</v>
      </c>
      <c r="W17" s="82">
        <f t="shared" si="2"/>
        <v>-314.98869525452346</v>
      </c>
      <c r="Y17" s="243"/>
    </row>
    <row r="18" spans="1:25" ht="15.75" customHeight="1" x14ac:dyDescent="0.3">
      <c r="A18" s="33"/>
      <c r="B18" s="33"/>
      <c r="C18" s="33"/>
      <c r="D18" s="39" t="str">
        <f>'[3]2024 Forecast'!D18</f>
        <v>Legal &amp; Violation Fees / Lien Fees Assessed</v>
      </c>
      <c r="E18" s="33"/>
      <c r="F18" s="33"/>
      <c r="G18" s="33"/>
      <c r="H18" s="174"/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70">
        <f t="shared" si="5"/>
        <v>0</v>
      </c>
      <c r="V18" s="50">
        <f>'[3]2024 Forecast'!O18</f>
        <v>-12.5</v>
      </c>
      <c r="W18" s="82">
        <f t="shared" si="2"/>
        <v>12.5</v>
      </c>
      <c r="Y18" s="243"/>
    </row>
    <row r="19" spans="1:25" ht="15.75" customHeight="1" x14ac:dyDescent="0.3">
      <c r="A19" s="33"/>
      <c r="B19" s="33"/>
      <c r="C19" s="33"/>
      <c r="D19" s="39" t="str">
        <f>'[3]2024 Forecast'!D19</f>
        <v>Transfer Fee/Resale Cert Income</v>
      </c>
      <c r="E19" s="33"/>
      <c r="F19" s="33"/>
      <c r="G19" s="33"/>
      <c r="H19" s="322"/>
      <c r="I19" s="42">
        <v>0</v>
      </c>
      <c r="J19" s="42">
        <v>0</v>
      </c>
      <c r="K19" s="42">
        <v>350</v>
      </c>
      <c r="L19" s="42">
        <v>0</v>
      </c>
      <c r="M19" s="42">
        <v>0</v>
      </c>
      <c r="N19" s="42">
        <v>350</v>
      </c>
      <c r="O19" s="42">
        <v>0</v>
      </c>
      <c r="P19" s="42">
        <v>0</v>
      </c>
      <c r="Q19" s="42">
        <v>350</v>
      </c>
      <c r="R19" s="42">
        <v>0</v>
      </c>
      <c r="S19" s="42">
        <v>0</v>
      </c>
      <c r="T19" s="42">
        <v>0</v>
      </c>
      <c r="U19" s="70">
        <f t="shared" si="5"/>
        <v>1050</v>
      </c>
      <c r="V19" s="50">
        <f>'[3]2024 Forecast'!O19</f>
        <v>700</v>
      </c>
      <c r="W19" s="82">
        <f t="shared" si="2"/>
        <v>350</v>
      </c>
      <c r="Y19" s="243"/>
    </row>
    <row r="20" spans="1:25" ht="15.75" customHeight="1" x14ac:dyDescent="0.3">
      <c r="A20" s="33"/>
      <c r="B20" s="33"/>
      <c r="C20" s="33"/>
      <c r="D20" s="33" t="str">
        <f>'[3]2024 Forecast'!D20</f>
        <v>Miscellaneous Income</v>
      </c>
      <c r="E20" s="33"/>
      <c r="F20" s="33"/>
      <c r="G20" s="33"/>
      <c r="H20" s="33"/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74">
        <f>SUM(I54:N54,I92:N92)/3*1</f>
        <v>65.52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50">
        <f>SUM(O54:T54,O92:T92)/3*1</f>
        <v>65.52</v>
      </c>
      <c r="U20" s="207">
        <f t="shared" si="5"/>
        <v>131.04</v>
      </c>
      <c r="V20" s="74">
        <f>'[3]2024 Forecast'!O20</f>
        <v>0</v>
      </c>
      <c r="W20" s="208">
        <f t="shared" si="2"/>
        <v>131.04</v>
      </c>
      <c r="Y20" s="243"/>
    </row>
    <row r="21" spans="1:25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246"/>
      <c r="U21" s="70"/>
      <c r="V21" s="50"/>
      <c r="W21" s="82"/>
      <c r="Y21" s="243"/>
    </row>
    <row r="22" spans="1:25" ht="15.75" customHeight="1" x14ac:dyDescent="0.3">
      <c r="A22" s="33"/>
      <c r="B22" s="33"/>
      <c r="C22" s="40" t="str">
        <f>'[3]2024 Forecast'!C22</f>
        <v>Total Income &amp; Dues</v>
      </c>
      <c r="D22" s="33"/>
      <c r="E22" s="33"/>
      <c r="F22" s="33"/>
      <c r="G22" s="33"/>
      <c r="H22" s="33"/>
      <c r="I22" s="44">
        <f t="shared" ref="I22:W22" si="6">SUM(I17:I21)+I15</f>
        <v>14577.476649302191</v>
      </c>
      <c r="J22" s="44">
        <f t="shared" si="6"/>
        <v>12472.845491674294</v>
      </c>
      <c r="K22" s="44">
        <f t="shared" si="6"/>
        <v>12825.328715427357</v>
      </c>
      <c r="L22" s="44">
        <f t="shared" si="6"/>
        <v>12809.38718646338</v>
      </c>
      <c r="M22" s="44">
        <f t="shared" si="6"/>
        <v>11575.37519485474</v>
      </c>
      <c r="N22" s="44">
        <f t="shared" si="6"/>
        <v>11993.622917320878</v>
      </c>
      <c r="O22" s="44">
        <f t="shared" si="6"/>
        <v>11572.851819252064</v>
      </c>
      <c r="P22" s="44">
        <f t="shared" si="6"/>
        <v>11569.939541121787</v>
      </c>
      <c r="Q22" s="44">
        <f t="shared" si="6"/>
        <v>11918.154009079983</v>
      </c>
      <c r="R22" s="44">
        <f t="shared" si="6"/>
        <v>11566.67632439987</v>
      </c>
      <c r="S22" s="44">
        <f t="shared" si="6"/>
        <v>11567.872171291234</v>
      </c>
      <c r="T22" s="44">
        <f t="shared" si="6"/>
        <v>11790.281454167927</v>
      </c>
      <c r="U22" s="72">
        <f t="shared" si="6"/>
        <v>146239.81147435569</v>
      </c>
      <c r="V22" s="44">
        <f t="shared" si="6"/>
        <v>141775.31531261024</v>
      </c>
      <c r="W22" s="84">
        <f t="shared" si="6"/>
        <v>4464.4961617454755</v>
      </c>
      <c r="Y22" s="242">
        <f>U22-V22</f>
        <v>4464.4961617454537</v>
      </c>
    </row>
    <row r="23" spans="1:25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0"/>
      <c r="V23" s="50"/>
      <c r="W23" s="82"/>
      <c r="Y23" s="243"/>
    </row>
    <row r="24" spans="1:25" ht="15.75" customHeight="1" x14ac:dyDescent="0.3">
      <c r="A24" s="33"/>
      <c r="B24" s="33"/>
      <c r="C24" s="40" t="str">
        <f>'[3]2024 Forecast'!C24</f>
        <v>Administrative Expense</v>
      </c>
      <c r="D24" s="33"/>
      <c r="E24" s="33"/>
      <c r="F24" s="33"/>
      <c r="G24" s="33"/>
      <c r="H24" s="33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70"/>
      <c r="V24" s="50"/>
      <c r="W24" s="82"/>
      <c r="Y24" s="243"/>
    </row>
    <row r="25" spans="1:25" ht="15.75" customHeight="1" x14ac:dyDescent="0.3">
      <c r="A25" s="33"/>
      <c r="B25" s="33"/>
      <c r="C25" s="127"/>
      <c r="D25" s="45" t="str">
        <f>'[3]2024 Forecast'!D25</f>
        <v>Bank Service Charges &amp; Fees</v>
      </c>
      <c r="E25" s="33"/>
      <c r="F25" s="33"/>
      <c r="G25" s="33"/>
      <c r="H25" s="33"/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70">
        <f t="shared" ref="U25:U36" si="7">SUM(I25:T25)</f>
        <v>0</v>
      </c>
      <c r="V25" s="50">
        <f>'[3]2024 Forecast'!O25</f>
        <v>606</v>
      </c>
      <c r="W25" s="82">
        <f>V25-U25</f>
        <v>606</v>
      </c>
      <c r="Y25" s="243"/>
    </row>
    <row r="26" spans="1:25" ht="15.75" customHeight="1" x14ac:dyDescent="0.3">
      <c r="A26" s="33"/>
      <c r="B26" s="33"/>
      <c r="C26" s="33"/>
      <c r="D26" s="45" t="str">
        <f>'[3]2024 Forecast'!D26</f>
        <v>Accounting Fees-incl. tax/audit</v>
      </c>
      <c r="E26" s="33"/>
      <c r="F26" s="33"/>
      <c r="G26" s="33"/>
      <c r="H26" s="33"/>
      <c r="I26" s="42">
        <v>357</v>
      </c>
      <c r="J26" s="42">
        <v>357</v>
      </c>
      <c r="K26" s="42">
        <v>357</v>
      </c>
      <c r="L26" s="42">
        <v>357</v>
      </c>
      <c r="M26" s="42">
        <v>357</v>
      </c>
      <c r="N26" s="42">
        <v>357</v>
      </c>
      <c r="O26" s="42">
        <v>357</v>
      </c>
      <c r="P26" s="42">
        <v>357</v>
      </c>
      <c r="Q26" s="42">
        <f>357+2000</f>
        <v>2357</v>
      </c>
      <c r="R26" s="42">
        <v>357</v>
      </c>
      <c r="S26" s="42">
        <v>357</v>
      </c>
      <c r="T26" s="42">
        <v>357</v>
      </c>
      <c r="U26" s="70">
        <f t="shared" si="7"/>
        <v>6284</v>
      </c>
      <c r="V26" s="50">
        <f>'[3]2024 Forecast'!O26</f>
        <v>5834.75</v>
      </c>
      <c r="W26" s="82">
        <f>V26-U26</f>
        <v>-449.25</v>
      </c>
      <c r="X26" s="33"/>
      <c r="Y26" s="243"/>
    </row>
    <row r="27" spans="1:25" ht="15.75" customHeight="1" x14ac:dyDescent="0.3">
      <c r="A27" s="33"/>
      <c r="B27" s="33"/>
      <c r="C27" s="33"/>
      <c r="D27" s="48" t="str">
        <f>'[3]2024 Forecast'!D27</f>
        <v>Benevolence Fund &amp; Donations</v>
      </c>
      <c r="E27" s="33"/>
      <c r="F27" s="33"/>
      <c r="G27" s="33"/>
      <c r="H27" s="33"/>
      <c r="I27" s="42">
        <v>0</v>
      </c>
      <c r="J27" s="42">
        <v>0</v>
      </c>
      <c r="K27" s="42">
        <v>35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50</v>
      </c>
      <c r="R27" s="42">
        <v>0</v>
      </c>
      <c r="S27" s="42">
        <v>0</v>
      </c>
      <c r="T27" s="42">
        <v>250</v>
      </c>
      <c r="U27" s="70">
        <f t="shared" si="7"/>
        <v>335</v>
      </c>
      <c r="V27" s="50">
        <f>'[3]2024 Forecast'!O27</f>
        <v>285</v>
      </c>
      <c r="W27" s="82">
        <f>V27-U27</f>
        <v>-50</v>
      </c>
      <c r="Y27" s="243"/>
    </row>
    <row r="28" spans="1:25" ht="15.75" customHeight="1" x14ac:dyDescent="0.3">
      <c r="A28" s="33"/>
      <c r="B28" s="33"/>
      <c r="C28" s="33"/>
      <c r="D28" s="45" t="str">
        <f>'[3]2024 Forecast'!D28</f>
        <v>Insurance</v>
      </c>
      <c r="E28" s="33"/>
      <c r="F28" s="33"/>
      <c r="G28" s="33"/>
      <c r="H28" s="33"/>
      <c r="I28" s="42">
        <v>0</v>
      </c>
      <c r="J28" s="42">
        <v>0</v>
      </c>
      <c r="K28" s="42">
        <v>0</v>
      </c>
      <c r="L28" s="42">
        <f>3939*1.07</f>
        <v>4214.7300000000005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70">
        <f t="shared" si="7"/>
        <v>4214.7300000000005</v>
      </c>
      <c r="V28" s="50">
        <f>'[3]2024 Forecast'!O28</f>
        <v>3939.11</v>
      </c>
      <c r="W28" s="82">
        <f t="shared" ref="W28:W36" si="8">V28-U28</f>
        <v>-275.62000000000035</v>
      </c>
      <c r="Y28" s="243"/>
    </row>
    <row r="29" spans="1:25" ht="15.75" customHeight="1" x14ac:dyDescent="0.3">
      <c r="A29" s="33"/>
      <c r="B29" s="33"/>
      <c r="C29" s="33"/>
      <c r="D29" s="33" t="str">
        <f>'[3]2024 Forecast'!D29</f>
        <v>Interest Expense - Loan</v>
      </c>
      <c r="E29" s="33"/>
      <c r="F29" s="33"/>
      <c r="G29" s="33"/>
      <c r="H29" s="33"/>
      <c r="I29" s="50">
        <f>I129</f>
        <v>386.12016248709153</v>
      </c>
      <c r="J29" s="50">
        <f t="shared" ref="J29:T29" si="9">J129</f>
        <v>341.82132710626757</v>
      </c>
      <c r="K29" s="50">
        <f t="shared" si="9"/>
        <v>370.41151217624662</v>
      </c>
      <c r="L29" s="50">
        <f t="shared" si="9"/>
        <v>350.91222297637228</v>
      </c>
      <c r="M29" s="50">
        <f t="shared" si="9"/>
        <v>354.64931986862155</v>
      </c>
      <c r="N29" s="50">
        <f t="shared" si="9"/>
        <v>335.53507571568059</v>
      </c>
      <c r="O29" s="50">
        <f t="shared" si="9"/>
        <v>338.6351897724561</v>
      </c>
      <c r="P29" s="50">
        <f t="shared" si="9"/>
        <v>330.57588327212613</v>
      </c>
      <c r="Q29" s="50">
        <f t="shared" si="9"/>
        <v>312.04971451778704</v>
      </c>
      <c r="R29" s="50">
        <f t="shared" si="9"/>
        <v>314.17697114435492</v>
      </c>
      <c r="S29" s="50">
        <f t="shared" si="9"/>
        <v>296.05140147970218</v>
      </c>
      <c r="T29" s="50">
        <f t="shared" si="9"/>
        <v>297.51594410418414</v>
      </c>
      <c r="U29" s="70">
        <f t="shared" si="7"/>
        <v>4028.4547246208908</v>
      </c>
      <c r="V29" s="50">
        <f>'[3]2024 Forecast'!O29</f>
        <v>2847.2049888173497</v>
      </c>
      <c r="W29" s="82">
        <f t="shared" si="8"/>
        <v>-1181.2497358035412</v>
      </c>
      <c r="Y29" s="243"/>
    </row>
    <row r="30" spans="1:25" ht="15.75" customHeight="1" x14ac:dyDescent="0.3">
      <c r="A30" s="33"/>
      <c r="B30" s="33"/>
      <c r="C30" s="33"/>
      <c r="D30" s="45" t="str">
        <f>'[3]2024 Forecast'!D30</f>
        <v>Legal Fees - incl. court filings, liens</v>
      </c>
      <c r="E30" s="33"/>
      <c r="F30" s="33"/>
      <c r="G30" s="33"/>
      <c r="H30" s="33"/>
      <c r="I30" s="42">
        <v>0</v>
      </c>
      <c r="J30" s="42">
        <v>0</v>
      </c>
      <c r="K30" s="42">
        <v>300</v>
      </c>
      <c r="L30" s="42">
        <v>0</v>
      </c>
      <c r="M30" s="42">
        <v>0</v>
      </c>
      <c r="N30" s="42">
        <v>1000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70">
        <f t="shared" si="7"/>
        <v>1300</v>
      </c>
      <c r="V30" s="50">
        <f>'[3]2024 Forecast'!O30</f>
        <v>950</v>
      </c>
      <c r="W30" s="82">
        <f t="shared" si="8"/>
        <v>-350</v>
      </c>
      <c r="Y30" s="243"/>
    </row>
    <row r="31" spans="1:25" ht="15.75" customHeight="1" x14ac:dyDescent="0.3">
      <c r="A31" s="33"/>
      <c r="B31" s="33"/>
      <c r="C31" s="33"/>
      <c r="D31" s="45" t="str">
        <f>'[3]2024 Forecast'!D31</f>
        <v>Local Taxes</v>
      </c>
      <c r="E31" s="33"/>
      <c r="F31" s="33"/>
      <c r="G31" s="33"/>
      <c r="H31" s="33"/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70">
        <f t="shared" si="7"/>
        <v>0</v>
      </c>
      <c r="V31" s="50">
        <f>'[3]2024 Forecast'!O31</f>
        <v>22.1</v>
      </c>
      <c r="W31" s="82">
        <f t="shared" si="8"/>
        <v>22.1</v>
      </c>
      <c r="Y31" s="243"/>
    </row>
    <row r="32" spans="1:25" ht="15.75" customHeight="1" x14ac:dyDescent="0.3">
      <c r="A32" s="33"/>
      <c r="B32" s="33"/>
      <c r="C32" s="33"/>
      <c r="D32" s="45" t="s">
        <v>145</v>
      </c>
      <c r="E32" s="33"/>
      <c r="F32" s="33"/>
      <c r="G32" s="33"/>
      <c r="H32" s="33"/>
      <c r="I32" s="42">
        <v>0</v>
      </c>
      <c r="J32" s="42">
        <v>0</v>
      </c>
      <c r="K32" s="42">
        <v>0</v>
      </c>
      <c r="L32" s="42">
        <v>100</v>
      </c>
      <c r="M32" s="42">
        <v>0</v>
      </c>
      <c r="N32" s="42">
        <v>0</v>
      </c>
      <c r="O32" s="42">
        <v>0</v>
      </c>
      <c r="P32" s="42">
        <v>0</v>
      </c>
      <c r="Q32" s="42">
        <v>100</v>
      </c>
      <c r="R32" s="42">
        <v>0</v>
      </c>
      <c r="S32" s="42">
        <v>100</v>
      </c>
      <c r="T32" s="42">
        <v>0</v>
      </c>
      <c r="U32" s="70">
        <f t="shared" si="7"/>
        <v>300</v>
      </c>
      <c r="V32" s="50">
        <f>'[3]2024 Forecast'!O32</f>
        <v>147.19999999999999</v>
      </c>
      <c r="W32" s="82">
        <f t="shared" si="8"/>
        <v>-152.80000000000001</v>
      </c>
      <c r="Y32" s="243"/>
    </row>
    <row r="33" spans="1:25" ht="15.75" customHeight="1" x14ac:dyDescent="0.3">
      <c r="A33" s="33"/>
      <c r="B33" s="33"/>
      <c r="C33" s="33"/>
      <c r="D33" s="45" t="str">
        <f>'[3]2024 Forecast'!D33</f>
        <v>Postage &amp; PO Box</v>
      </c>
      <c r="E33" s="33"/>
      <c r="F33" s="33"/>
      <c r="G33" s="33"/>
      <c r="H33" s="33"/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240</v>
      </c>
      <c r="S33" s="42">
        <v>0</v>
      </c>
      <c r="T33" s="42">
        <v>0</v>
      </c>
      <c r="U33" s="70">
        <f t="shared" si="7"/>
        <v>240</v>
      </c>
      <c r="V33" s="50">
        <f>'[3]2024 Forecast'!O33</f>
        <v>281.51</v>
      </c>
      <c r="W33" s="82">
        <f t="shared" si="8"/>
        <v>41.509999999999991</v>
      </c>
      <c r="Y33" s="243"/>
    </row>
    <row r="34" spans="1:25" ht="15.75" customHeight="1" x14ac:dyDescent="0.3">
      <c r="A34" s="33"/>
      <c r="B34" s="33"/>
      <c r="C34" s="33"/>
      <c r="D34" s="45" t="str">
        <f>'[3]2024 Forecast'!D34</f>
        <v>Security - Park Patrol</v>
      </c>
      <c r="E34" s="33"/>
      <c r="F34" s="33"/>
      <c r="G34" s="33"/>
      <c r="H34" s="33"/>
      <c r="I34" s="42">
        <v>500</v>
      </c>
      <c r="J34" s="42">
        <v>400</v>
      </c>
      <c r="K34" s="42">
        <v>600</v>
      </c>
      <c r="L34" s="42">
        <v>1000</v>
      </c>
      <c r="M34" s="42">
        <v>800</v>
      </c>
      <c r="N34" s="42">
        <v>800</v>
      </c>
      <c r="O34" s="42">
        <v>1000</v>
      </c>
      <c r="P34" s="42">
        <v>800</v>
      </c>
      <c r="Q34" s="42">
        <v>800</v>
      </c>
      <c r="R34" s="42">
        <v>1000</v>
      </c>
      <c r="S34" s="42">
        <v>600</v>
      </c>
      <c r="T34" s="42">
        <v>700</v>
      </c>
      <c r="U34" s="70">
        <f t="shared" si="7"/>
        <v>9000</v>
      </c>
      <c r="V34" s="50">
        <f>'[3]2024 Forecast'!O34</f>
        <v>9000</v>
      </c>
      <c r="W34" s="82">
        <f t="shared" si="8"/>
        <v>0</v>
      </c>
      <c r="Y34" s="243"/>
    </row>
    <row r="35" spans="1:25" ht="15.75" customHeight="1" x14ac:dyDescent="0.3">
      <c r="A35" s="33"/>
      <c r="B35" s="33"/>
      <c r="C35" s="33"/>
      <c r="D35" s="33" t="str">
        <f>'[3]2024 Forecast'!D35</f>
        <v>Social Events - incl. food &amp; beverage</v>
      </c>
      <c r="E35" s="33"/>
      <c r="F35" s="33"/>
      <c r="G35" s="33"/>
      <c r="H35" s="114"/>
      <c r="I35" s="42">
        <v>0</v>
      </c>
      <c r="J35" s="42">
        <v>0</v>
      </c>
      <c r="K35" s="42">
        <v>0</v>
      </c>
      <c r="L35" s="42">
        <v>150</v>
      </c>
      <c r="M35" s="42">
        <v>0</v>
      </c>
      <c r="N35" s="42">
        <v>0</v>
      </c>
      <c r="O35" s="42">
        <v>150</v>
      </c>
      <c r="P35" s="42">
        <v>0</v>
      </c>
      <c r="Q35" s="42">
        <v>0</v>
      </c>
      <c r="R35" s="42">
        <v>150</v>
      </c>
      <c r="S35" s="42">
        <v>0</v>
      </c>
      <c r="T35" s="42">
        <v>250</v>
      </c>
      <c r="U35" s="70">
        <f t="shared" si="7"/>
        <v>700</v>
      </c>
      <c r="V35" s="50">
        <f>'[3]2024 Forecast'!O35</f>
        <v>716.8</v>
      </c>
      <c r="W35" s="82">
        <f t="shared" si="8"/>
        <v>16.799999999999955</v>
      </c>
      <c r="Y35" s="243"/>
    </row>
    <row r="36" spans="1:25" ht="15.75" customHeight="1" x14ac:dyDescent="0.3">
      <c r="A36" s="33"/>
      <c r="B36" s="33"/>
      <c r="C36" s="33"/>
      <c r="D36" s="136" t="str">
        <f>'[3]2024 Forecast'!D36</f>
        <v>Web Site</v>
      </c>
      <c r="E36" s="33"/>
      <c r="F36" s="33"/>
      <c r="G36" s="33"/>
      <c r="H36" s="33"/>
      <c r="I36" s="206">
        <v>46</v>
      </c>
      <c r="J36" s="206">
        <v>46</v>
      </c>
      <c r="K36" s="206">
        <v>46</v>
      </c>
      <c r="L36" s="206">
        <v>46</v>
      </c>
      <c r="M36" s="206">
        <v>46</v>
      </c>
      <c r="N36" s="206">
        <v>46</v>
      </c>
      <c r="O36" s="206">
        <v>46</v>
      </c>
      <c r="P36" s="206">
        <v>46</v>
      </c>
      <c r="Q36" s="206">
        <v>46</v>
      </c>
      <c r="R36" s="206">
        <v>46</v>
      </c>
      <c r="S36" s="206">
        <v>46</v>
      </c>
      <c r="T36" s="206">
        <v>46</v>
      </c>
      <c r="U36" s="207">
        <f t="shared" si="7"/>
        <v>552</v>
      </c>
      <c r="V36" s="74">
        <f>'[3]2024 Forecast'!O36</f>
        <v>1358.9099999999999</v>
      </c>
      <c r="W36" s="208">
        <f t="shared" si="8"/>
        <v>806.90999999999985</v>
      </c>
      <c r="Y36" s="243"/>
    </row>
    <row r="37" spans="1:25" ht="15.75" customHeight="1" x14ac:dyDescent="0.3">
      <c r="A37" s="33"/>
      <c r="B37" s="33"/>
      <c r="C37" s="127"/>
      <c r="D37" s="45"/>
      <c r="E37" s="33"/>
      <c r="F37" s="33"/>
      <c r="G37" s="33"/>
      <c r="H37" s="33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70"/>
      <c r="V37" s="50"/>
      <c r="W37" s="82"/>
      <c r="Y37" s="243"/>
    </row>
    <row r="38" spans="1:25" ht="15.75" customHeight="1" x14ac:dyDescent="0.3">
      <c r="A38" s="33"/>
      <c r="B38" s="33"/>
      <c r="C38" s="40" t="str">
        <f>'[3]2024 Forecast'!C38</f>
        <v>Total Administrative Expenses</v>
      </c>
      <c r="D38" s="45"/>
      <c r="E38" s="33"/>
      <c r="F38" s="33"/>
      <c r="G38" s="33"/>
      <c r="H38" s="33"/>
      <c r="I38" s="44">
        <f t="shared" ref="I38:W38" si="10">SUM(I25:I37)</f>
        <v>1289.1201624870914</v>
      </c>
      <c r="J38" s="44">
        <f t="shared" si="10"/>
        <v>1144.8213271062675</v>
      </c>
      <c r="K38" s="44">
        <f t="shared" si="10"/>
        <v>1708.4115121762466</v>
      </c>
      <c r="L38" s="44">
        <f t="shared" si="10"/>
        <v>6218.642222976373</v>
      </c>
      <c r="M38" s="44">
        <f t="shared" si="10"/>
        <v>1557.6493198686217</v>
      </c>
      <c r="N38" s="44">
        <f t="shared" si="10"/>
        <v>2538.5350757156807</v>
      </c>
      <c r="O38" s="44">
        <f t="shared" si="10"/>
        <v>1891.6351897724562</v>
      </c>
      <c r="P38" s="44">
        <f t="shared" si="10"/>
        <v>1533.5758832721262</v>
      </c>
      <c r="Q38" s="44">
        <f t="shared" si="10"/>
        <v>3665.0497145177869</v>
      </c>
      <c r="R38" s="44">
        <f t="shared" si="10"/>
        <v>2107.1769711443549</v>
      </c>
      <c r="S38" s="44">
        <f t="shared" si="10"/>
        <v>1399.0514014797022</v>
      </c>
      <c r="T38" s="44">
        <f t="shared" si="10"/>
        <v>1900.5159441041842</v>
      </c>
      <c r="U38" s="72">
        <f t="shared" si="10"/>
        <v>26954.184724620893</v>
      </c>
      <c r="V38" s="44">
        <f t="shared" si="10"/>
        <v>25988.584988817351</v>
      </c>
      <c r="W38" s="84">
        <f t="shared" si="10"/>
        <v>-965.59973580354176</v>
      </c>
      <c r="Y38" s="242">
        <f>V38-U38</f>
        <v>-965.59973580354199</v>
      </c>
    </row>
    <row r="39" spans="1:25" ht="15.75" customHeight="1" x14ac:dyDescent="0.3">
      <c r="A39" s="33"/>
      <c r="B39" s="33"/>
      <c r="C39" s="127"/>
      <c r="D39" s="45"/>
      <c r="E39" s="33"/>
      <c r="F39" s="33"/>
      <c r="G39" s="33"/>
      <c r="H39" s="33"/>
      <c r="I39" s="33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70"/>
      <c r="V39" s="50"/>
      <c r="W39" s="82"/>
      <c r="Y39" s="243"/>
    </row>
    <row r="40" spans="1:25" ht="15.75" customHeight="1" x14ac:dyDescent="0.3">
      <c r="A40" s="33"/>
      <c r="B40" s="33"/>
      <c r="C40" s="47" t="str">
        <f>'[3]2024 Forecast'!C40</f>
        <v>Maintenance &amp; Repairs</v>
      </c>
      <c r="D40" s="45"/>
      <c r="E40" s="33"/>
      <c r="F40" s="33"/>
      <c r="G40" s="33"/>
      <c r="H40" s="3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0"/>
      <c r="V40" s="50"/>
      <c r="W40" s="82"/>
      <c r="X40" s="33"/>
      <c r="Y40" s="243"/>
    </row>
    <row r="41" spans="1:25" ht="15.75" customHeight="1" x14ac:dyDescent="0.3">
      <c r="A41" s="33"/>
      <c r="B41" s="33"/>
      <c r="C41" s="127"/>
      <c r="D41" s="45" t="str">
        <f>'[3]2024 Forecast'!D41</f>
        <v>Electrical</v>
      </c>
      <c r="E41" s="33"/>
      <c r="F41" s="33"/>
      <c r="G41" s="33"/>
      <c r="H41" s="33"/>
      <c r="I41" s="42">
        <v>0</v>
      </c>
      <c r="J41" s="42">
        <v>0</v>
      </c>
      <c r="K41" s="42">
        <v>0</v>
      </c>
      <c r="L41" s="42">
        <v>500</v>
      </c>
      <c r="M41" s="42">
        <v>0</v>
      </c>
      <c r="N41" s="42">
        <v>750</v>
      </c>
      <c r="O41" s="42">
        <v>0</v>
      </c>
      <c r="P41" s="42">
        <v>0</v>
      </c>
      <c r="Q41" s="42">
        <v>0</v>
      </c>
      <c r="R41" s="42">
        <v>750</v>
      </c>
      <c r="S41" s="42">
        <v>0</v>
      </c>
      <c r="T41" s="42">
        <v>0</v>
      </c>
      <c r="U41" s="70">
        <f t="shared" ref="U41:U46" si="11">SUM(I41:T41)</f>
        <v>2000</v>
      </c>
      <c r="V41" s="50">
        <f>'[3]2024 Forecast'!O41</f>
        <v>389.38</v>
      </c>
      <c r="W41" s="82">
        <f t="shared" ref="W41:W46" si="12">V41-U41</f>
        <v>-1610.62</v>
      </c>
      <c r="Y41" s="243"/>
    </row>
    <row r="42" spans="1:25" ht="15.75" customHeight="1" x14ac:dyDescent="0.3">
      <c r="A42" s="33"/>
      <c r="B42" s="33"/>
      <c r="C42" s="127"/>
      <c r="D42" s="45" t="str">
        <f>'[3]2024 Forecast'!D42</f>
        <v>Fences &amp; Gates</v>
      </c>
      <c r="E42" s="33"/>
      <c r="F42" s="33"/>
      <c r="G42" s="33"/>
      <c r="H42" s="170"/>
      <c r="I42" s="42">
        <v>0</v>
      </c>
      <c r="J42" s="42">
        <v>500</v>
      </c>
      <c r="K42" s="42">
        <v>0</v>
      </c>
      <c r="L42" s="42">
        <v>0</v>
      </c>
      <c r="M42" s="42">
        <v>500</v>
      </c>
      <c r="N42" s="42">
        <v>0</v>
      </c>
      <c r="O42" s="42">
        <v>500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70">
        <f t="shared" si="11"/>
        <v>1500</v>
      </c>
      <c r="V42" s="50">
        <f>'[3]2024 Forecast'!O42</f>
        <v>500</v>
      </c>
      <c r="W42" s="82">
        <f t="shared" si="12"/>
        <v>-1000</v>
      </c>
      <c r="Y42" s="243"/>
    </row>
    <row r="43" spans="1:25" ht="15.75" customHeight="1" x14ac:dyDescent="0.3">
      <c r="A43" s="33"/>
      <c r="B43" s="33"/>
      <c r="C43" s="127"/>
      <c r="D43" s="45" t="str">
        <f>'[3]2024 Forecast'!D43</f>
        <v>Plumbing</v>
      </c>
      <c r="E43" s="33"/>
      <c r="F43" s="33"/>
      <c r="G43" s="33"/>
      <c r="H43" s="170"/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250</v>
      </c>
      <c r="O43" s="42">
        <v>500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70">
        <f t="shared" si="11"/>
        <v>750</v>
      </c>
      <c r="V43" s="50">
        <f>'[3]2024 Forecast'!O43</f>
        <v>884.54</v>
      </c>
      <c r="W43" s="82">
        <f t="shared" si="12"/>
        <v>134.53999999999996</v>
      </c>
      <c r="Y43" s="243"/>
    </row>
    <row r="44" spans="1:25" ht="15.75" customHeight="1" x14ac:dyDescent="0.3">
      <c r="A44" s="33"/>
      <c r="B44" s="33"/>
      <c r="C44" s="127"/>
      <c r="D44" s="45" t="str">
        <f>'[3]2024 Forecast'!D44</f>
        <v>Rear walkways &amp; Common Park walkway</v>
      </c>
      <c r="E44" s="33"/>
      <c r="F44" s="33"/>
      <c r="G44" s="33"/>
      <c r="H44" s="33"/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1500</v>
      </c>
      <c r="O44" s="42">
        <v>0</v>
      </c>
      <c r="P44" s="42">
        <v>500</v>
      </c>
      <c r="Q44" s="42">
        <v>0</v>
      </c>
      <c r="R44" s="42">
        <v>500</v>
      </c>
      <c r="S44" s="42">
        <v>0</v>
      </c>
      <c r="T44" s="42">
        <v>0</v>
      </c>
      <c r="U44" s="70">
        <f t="shared" si="11"/>
        <v>2500</v>
      </c>
      <c r="V44" s="50">
        <f>'[3]2024 Forecast'!O44</f>
        <v>7875.8</v>
      </c>
      <c r="W44" s="82">
        <f t="shared" si="12"/>
        <v>5375.8</v>
      </c>
      <c r="Y44" s="243"/>
    </row>
    <row r="45" spans="1:25" ht="15.75" customHeight="1" x14ac:dyDescent="0.3">
      <c r="A45" s="33"/>
      <c r="B45" s="33"/>
      <c r="C45" s="127"/>
      <c r="D45" s="45" t="str">
        <f>'[3]2024 Forecast'!D45</f>
        <v>Signs</v>
      </c>
      <c r="E45" s="33"/>
      <c r="F45" s="33"/>
      <c r="G45" s="33"/>
      <c r="H45" s="33"/>
      <c r="I45" s="42">
        <v>0</v>
      </c>
      <c r="J45" s="42">
        <v>0</v>
      </c>
      <c r="K45" s="42">
        <v>150</v>
      </c>
      <c r="L45" s="42">
        <v>0</v>
      </c>
      <c r="M45" s="42">
        <v>0</v>
      </c>
      <c r="N45" s="42">
        <v>300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70">
        <f t="shared" si="11"/>
        <v>450</v>
      </c>
      <c r="V45" s="50">
        <f>'[3]2024 Forecast'!O45</f>
        <v>0</v>
      </c>
      <c r="W45" s="82">
        <f t="shared" si="12"/>
        <v>-450</v>
      </c>
      <c r="Y45" s="243"/>
    </row>
    <row r="46" spans="1:25" ht="15.75" customHeight="1" x14ac:dyDescent="0.3">
      <c r="A46" s="33"/>
      <c r="B46" s="33"/>
      <c r="C46" s="127"/>
      <c r="D46" s="45" t="str">
        <f>'[3]2024 Forecast'!D46</f>
        <v>Tennis &amp; Basketball Courts</v>
      </c>
      <c r="E46" s="33"/>
      <c r="F46" s="33"/>
      <c r="G46" s="33"/>
      <c r="H46" s="33"/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500</v>
      </c>
      <c r="O46" s="42">
        <v>750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207">
        <f t="shared" si="11"/>
        <v>1250</v>
      </c>
      <c r="V46" s="74">
        <f>'[3]2024 Forecast'!O46</f>
        <v>5822.11</v>
      </c>
      <c r="W46" s="208">
        <f t="shared" si="12"/>
        <v>4572.1099999999997</v>
      </c>
      <c r="Y46" s="243"/>
    </row>
    <row r="47" spans="1:25" ht="15.75" customHeight="1" x14ac:dyDescent="0.3">
      <c r="A47" s="33"/>
      <c r="B47" s="33"/>
      <c r="C47" s="127"/>
      <c r="D47" s="45"/>
      <c r="E47" s="33"/>
      <c r="F47" s="33"/>
      <c r="G47" s="33"/>
      <c r="H47" s="33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246"/>
      <c r="U47" s="70"/>
      <c r="V47" s="50"/>
      <c r="W47" s="82"/>
      <c r="Y47" s="243"/>
    </row>
    <row r="48" spans="1:25" ht="15.75" customHeight="1" x14ac:dyDescent="0.3">
      <c r="A48" s="33"/>
      <c r="B48" s="33"/>
      <c r="C48" s="40" t="str">
        <f>'[3]2024 Forecast'!C48</f>
        <v>Total Maintenance &amp; repairs</v>
      </c>
      <c r="D48" s="45"/>
      <c r="E48" s="33"/>
      <c r="F48" s="33"/>
      <c r="G48" s="33"/>
      <c r="H48" s="33"/>
      <c r="I48" s="44">
        <f t="shared" ref="I48:W48" si="13">SUM(I41:I47)</f>
        <v>0</v>
      </c>
      <c r="J48" s="44">
        <f t="shared" si="13"/>
        <v>500</v>
      </c>
      <c r="K48" s="44">
        <f t="shared" si="13"/>
        <v>150</v>
      </c>
      <c r="L48" s="44">
        <f t="shared" si="13"/>
        <v>500</v>
      </c>
      <c r="M48" s="44">
        <f t="shared" si="13"/>
        <v>500</v>
      </c>
      <c r="N48" s="44">
        <f t="shared" si="13"/>
        <v>3300</v>
      </c>
      <c r="O48" s="44">
        <f t="shared" si="13"/>
        <v>1750</v>
      </c>
      <c r="P48" s="44">
        <f t="shared" si="13"/>
        <v>500</v>
      </c>
      <c r="Q48" s="44">
        <f t="shared" si="13"/>
        <v>0</v>
      </c>
      <c r="R48" s="44">
        <f t="shared" si="13"/>
        <v>1250</v>
      </c>
      <c r="S48" s="44">
        <f t="shared" si="13"/>
        <v>0</v>
      </c>
      <c r="T48" s="250">
        <f t="shared" si="13"/>
        <v>0</v>
      </c>
      <c r="U48" s="72">
        <f t="shared" si="13"/>
        <v>8450</v>
      </c>
      <c r="V48" s="44">
        <f t="shared" si="13"/>
        <v>15471.830000000002</v>
      </c>
      <c r="W48" s="84">
        <f t="shared" si="13"/>
        <v>7021.83</v>
      </c>
      <c r="Y48" s="242">
        <f>V48-U48</f>
        <v>7021.8300000000017</v>
      </c>
    </row>
    <row r="49" spans="1:27" ht="15.75" customHeight="1" x14ac:dyDescent="0.3">
      <c r="A49" s="33"/>
      <c r="B49" s="33"/>
      <c r="C49" s="127"/>
      <c r="D49" s="45"/>
      <c r="E49" s="33"/>
      <c r="F49" s="33"/>
      <c r="G49" s="33"/>
      <c r="H49" s="33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70"/>
      <c r="V49" s="50"/>
      <c r="W49" s="82"/>
      <c r="Y49" s="243"/>
    </row>
    <row r="50" spans="1:27" ht="15.75" customHeight="1" x14ac:dyDescent="0.3">
      <c r="A50" s="33"/>
      <c r="B50" s="33"/>
      <c r="C50" s="51" t="str">
        <f>'[3]2024 Forecast'!C50</f>
        <v>Parks &amp; Grounds</v>
      </c>
      <c r="D50" s="45"/>
      <c r="E50" s="33"/>
      <c r="F50" s="33"/>
      <c r="G50" s="33"/>
      <c r="H50" s="33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70"/>
      <c r="V50" s="50"/>
      <c r="W50" s="82"/>
      <c r="Y50" s="243"/>
    </row>
    <row r="51" spans="1:27" ht="15.75" customHeight="1" x14ac:dyDescent="0.3">
      <c r="A51" s="33"/>
      <c r="B51" s="33"/>
      <c r="C51" s="45"/>
      <c r="D51" s="45" t="str">
        <f>'[3]2024 Forecast'!D51</f>
        <v>Keys &amp; Locksmith</v>
      </c>
      <c r="E51" s="33"/>
      <c r="F51" s="33"/>
      <c r="G51" s="33"/>
      <c r="H51" s="33"/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350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70">
        <f t="shared" ref="U51:U58" si="14">SUM(I51:T51)</f>
        <v>350</v>
      </c>
      <c r="V51" s="50">
        <f>'[3]2024 Forecast'!O51</f>
        <v>0</v>
      </c>
      <c r="W51" s="82">
        <f t="shared" ref="W51:W58" si="15">V51-U51</f>
        <v>-350</v>
      </c>
      <c r="Y51" s="243"/>
    </row>
    <row r="52" spans="1:27" ht="15.75" customHeight="1" x14ac:dyDescent="0.3">
      <c r="A52" s="33"/>
      <c r="B52" s="33"/>
      <c r="C52" s="45"/>
      <c r="D52" s="48" t="str">
        <f>'[3]2024 Forecast'!D52</f>
        <v>Landscaping (walkways &amp; shrubs)</v>
      </c>
      <c r="E52" s="33"/>
      <c r="F52" s="33"/>
      <c r="G52" s="33"/>
      <c r="H52" s="33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1250</v>
      </c>
      <c r="Q52" s="42">
        <v>0</v>
      </c>
      <c r="R52" s="42">
        <v>0</v>
      </c>
      <c r="S52" s="42">
        <v>0</v>
      </c>
      <c r="T52" s="42">
        <v>0</v>
      </c>
      <c r="U52" s="70">
        <f t="shared" si="14"/>
        <v>1250</v>
      </c>
      <c r="V52" s="50">
        <f>'[3]2024 Forecast'!O52</f>
        <v>750</v>
      </c>
      <c r="W52" s="82">
        <f t="shared" si="15"/>
        <v>-500</v>
      </c>
      <c r="Y52" s="243"/>
    </row>
    <row r="53" spans="1:27" ht="15.75" customHeight="1" x14ac:dyDescent="0.3">
      <c r="A53" s="33"/>
      <c r="B53" s="33"/>
      <c r="C53" s="45"/>
      <c r="D53" s="45" t="str">
        <f>'[3]2024 Forecast'!D53</f>
        <v>Lawn Mowing Service</v>
      </c>
      <c r="E53" s="33"/>
      <c r="F53" s="33"/>
      <c r="G53" s="33"/>
      <c r="H53" s="42">
        <v>19000</v>
      </c>
      <c r="I53" s="42">
        <f>H53/12</f>
        <v>1583.3333333333333</v>
      </c>
      <c r="J53" s="50">
        <f>I53</f>
        <v>1583.3333333333333</v>
      </c>
      <c r="K53" s="50">
        <f t="shared" ref="K53:T53" si="16">J53</f>
        <v>1583.3333333333333</v>
      </c>
      <c r="L53" s="50">
        <f t="shared" si="16"/>
        <v>1583.3333333333333</v>
      </c>
      <c r="M53" s="50">
        <f t="shared" si="16"/>
        <v>1583.3333333333333</v>
      </c>
      <c r="N53" s="50">
        <f t="shared" si="16"/>
        <v>1583.3333333333333</v>
      </c>
      <c r="O53" s="50">
        <f t="shared" si="16"/>
        <v>1583.3333333333333</v>
      </c>
      <c r="P53" s="50">
        <f t="shared" si="16"/>
        <v>1583.3333333333333</v>
      </c>
      <c r="Q53" s="50">
        <f t="shared" si="16"/>
        <v>1583.3333333333333</v>
      </c>
      <c r="R53" s="50">
        <f t="shared" si="16"/>
        <v>1583.3333333333333</v>
      </c>
      <c r="S53" s="50">
        <f t="shared" si="16"/>
        <v>1583.3333333333333</v>
      </c>
      <c r="T53" s="50">
        <f t="shared" si="16"/>
        <v>1583.3333333333333</v>
      </c>
      <c r="U53" s="70">
        <f t="shared" si="14"/>
        <v>19000</v>
      </c>
      <c r="V53" s="50">
        <f>'[3]2024 Forecast'!O53</f>
        <v>17887</v>
      </c>
      <c r="W53" s="82">
        <f t="shared" si="15"/>
        <v>-1113</v>
      </c>
      <c r="Y53" s="243"/>
    </row>
    <row r="54" spans="1:27" ht="15.75" customHeight="1" x14ac:dyDescent="0.3">
      <c r="A54" s="33"/>
      <c r="B54" s="33"/>
      <c r="C54" s="45"/>
      <c r="D54" s="33" t="str">
        <f>'[3]2024 Forecast'!D54</f>
        <v>Misc. Arapaho Median</v>
      </c>
      <c r="E54" s="33"/>
      <c r="F54" s="33"/>
      <c r="G54" s="33"/>
      <c r="H54" s="33"/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70">
        <f t="shared" si="14"/>
        <v>0</v>
      </c>
      <c r="V54" s="50">
        <f>'[3]2024 Forecast'!O54</f>
        <v>0</v>
      </c>
      <c r="W54" s="82">
        <f t="shared" si="15"/>
        <v>0</v>
      </c>
      <c r="Y54" s="243"/>
    </row>
    <row r="55" spans="1:27" ht="15.75" customHeight="1" x14ac:dyDescent="0.3">
      <c r="A55" s="33"/>
      <c r="B55" s="33"/>
      <c r="C55" s="45"/>
      <c r="D55" s="45" t="str">
        <f>'[3]2024 Forecast'!D55</f>
        <v>Misc. P&amp;G</v>
      </c>
      <c r="E55" s="33"/>
      <c r="F55" s="33"/>
      <c r="G55" s="33"/>
      <c r="H55" s="33"/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70">
        <f t="shared" si="14"/>
        <v>0</v>
      </c>
      <c r="V55" s="50">
        <f>'[3]2024 Forecast'!O55</f>
        <v>53.44</v>
      </c>
      <c r="W55" s="82">
        <f t="shared" si="15"/>
        <v>53.44</v>
      </c>
      <c r="X55" s="33"/>
      <c r="Y55" s="243"/>
      <c r="Z55" s="33"/>
      <c r="AA55" s="33"/>
    </row>
    <row r="56" spans="1:27" ht="15.75" customHeight="1" x14ac:dyDescent="0.3">
      <c r="A56" s="33"/>
      <c r="B56" s="33"/>
      <c r="C56" s="45"/>
      <c r="D56" s="45" t="str">
        <f>'[3]2024 Forecast'!D56</f>
        <v>Tree Trimming</v>
      </c>
      <c r="E56" s="33"/>
      <c r="F56" s="33"/>
      <c r="G56" s="33"/>
      <c r="H56" s="33"/>
      <c r="I56" s="42">
        <v>1500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1500</v>
      </c>
      <c r="S56" s="42">
        <v>0</v>
      </c>
      <c r="T56" s="42">
        <v>0</v>
      </c>
      <c r="U56" s="70">
        <f t="shared" si="14"/>
        <v>3000</v>
      </c>
      <c r="V56" s="50">
        <f>'[3]2024 Forecast'!O56</f>
        <v>3459.33</v>
      </c>
      <c r="W56" s="82">
        <f t="shared" si="15"/>
        <v>459.32999999999993</v>
      </c>
      <c r="Y56" s="243"/>
    </row>
    <row r="57" spans="1:27" ht="15.75" customHeight="1" x14ac:dyDescent="0.3">
      <c r="A57" s="33"/>
      <c r="B57" s="33"/>
      <c r="C57" s="45"/>
      <c r="D57" s="45" t="s">
        <v>144</v>
      </c>
      <c r="E57" s="33"/>
      <c r="F57" s="33"/>
      <c r="G57" s="33"/>
      <c r="H57" s="33"/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70">
        <f t="shared" si="14"/>
        <v>0</v>
      </c>
      <c r="V57" s="50">
        <f>'[3]2024 Forecast'!O57</f>
        <v>281.45</v>
      </c>
      <c r="W57" s="82">
        <f t="shared" si="15"/>
        <v>281.45</v>
      </c>
      <c r="Y57" s="243"/>
    </row>
    <row r="58" spans="1:27" ht="15.75" customHeight="1" x14ac:dyDescent="0.3">
      <c r="A58" s="33"/>
      <c r="B58" s="33"/>
      <c r="C58" s="45"/>
      <c r="D58" s="33" t="str">
        <f>'[3]2024 Forecast'!D58</f>
        <v>Sprinkler Repair</v>
      </c>
      <c r="E58" s="33"/>
      <c r="F58" s="33"/>
      <c r="G58" s="33"/>
      <c r="H58" s="33"/>
      <c r="I58" s="206">
        <v>0</v>
      </c>
      <c r="J58" s="206">
        <v>0</v>
      </c>
      <c r="K58" s="206">
        <v>0</v>
      </c>
      <c r="L58" s="206">
        <v>1500</v>
      </c>
      <c r="M58" s="206">
        <v>0</v>
      </c>
      <c r="N58" s="206">
        <v>1000</v>
      </c>
      <c r="O58" s="206">
        <v>0</v>
      </c>
      <c r="P58" s="206">
        <v>0</v>
      </c>
      <c r="Q58" s="206">
        <v>1000</v>
      </c>
      <c r="R58" s="206">
        <v>0</v>
      </c>
      <c r="S58" s="206">
        <v>0</v>
      </c>
      <c r="T58" s="206">
        <v>0</v>
      </c>
      <c r="U58" s="207">
        <f t="shared" si="14"/>
        <v>3500</v>
      </c>
      <c r="V58" s="74">
        <f>'[3]2024 Forecast'!O58</f>
        <v>3584.08</v>
      </c>
      <c r="W58" s="208">
        <f t="shared" si="15"/>
        <v>84.079999999999927</v>
      </c>
      <c r="Y58" s="243"/>
    </row>
    <row r="59" spans="1:27" ht="15.75" customHeight="1" x14ac:dyDescent="0.3">
      <c r="A59" s="33"/>
      <c r="B59" s="33"/>
      <c r="C59" s="45"/>
      <c r="D59" s="45"/>
      <c r="E59" s="33"/>
      <c r="F59" s="33"/>
      <c r="G59" s="33"/>
      <c r="H59" s="33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70"/>
      <c r="V59" s="50"/>
      <c r="W59" s="82"/>
      <c r="Y59" s="243"/>
    </row>
    <row r="60" spans="1:27" ht="15.75" customHeight="1" x14ac:dyDescent="0.3">
      <c r="A60" s="33"/>
      <c r="B60" s="33"/>
      <c r="C60" s="47" t="str">
        <f>'[3]2024 Forecast'!C60</f>
        <v>Total Parks &amp; Grounds</v>
      </c>
      <c r="D60" s="45"/>
      <c r="E60" s="33"/>
      <c r="F60" s="33"/>
      <c r="G60" s="33"/>
      <c r="H60" s="33"/>
      <c r="I60" s="44">
        <f>SUM(I51:I59)</f>
        <v>3083.333333333333</v>
      </c>
      <c r="J60" s="44">
        <f t="shared" ref="J60:W60" si="17">SUM(J51:J59)</f>
        <v>1583.3333333333333</v>
      </c>
      <c r="K60" s="44">
        <f t="shared" si="17"/>
        <v>1583.3333333333333</v>
      </c>
      <c r="L60" s="44">
        <f t="shared" si="17"/>
        <v>3083.333333333333</v>
      </c>
      <c r="M60" s="44">
        <f t="shared" si="17"/>
        <v>1583.3333333333333</v>
      </c>
      <c r="N60" s="44">
        <f t="shared" si="17"/>
        <v>2933.333333333333</v>
      </c>
      <c r="O60" s="44">
        <f t="shared" si="17"/>
        <v>1583.3333333333333</v>
      </c>
      <c r="P60" s="44">
        <f t="shared" si="17"/>
        <v>2833.333333333333</v>
      </c>
      <c r="Q60" s="44">
        <f t="shared" si="17"/>
        <v>2583.333333333333</v>
      </c>
      <c r="R60" s="44">
        <f t="shared" si="17"/>
        <v>3083.333333333333</v>
      </c>
      <c r="S60" s="44">
        <f t="shared" si="17"/>
        <v>1583.3333333333333</v>
      </c>
      <c r="T60" s="44">
        <f t="shared" si="17"/>
        <v>1583.3333333333333</v>
      </c>
      <c r="U60" s="72">
        <f t="shared" si="17"/>
        <v>27100</v>
      </c>
      <c r="V60" s="44">
        <f t="shared" si="17"/>
        <v>26015.299999999996</v>
      </c>
      <c r="W60" s="84">
        <f t="shared" si="17"/>
        <v>-1084.7</v>
      </c>
      <c r="Y60" s="242">
        <f>V60-U60</f>
        <v>-1084.7000000000044</v>
      </c>
    </row>
    <row r="61" spans="1:27" ht="15.75" customHeight="1" x14ac:dyDescent="0.3">
      <c r="A61" s="33"/>
      <c r="B61" s="33"/>
      <c r="C61" s="127"/>
      <c r="D61" s="45"/>
      <c r="E61" s="33"/>
      <c r="F61" s="33"/>
      <c r="G61" s="33"/>
      <c r="H61" s="33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70"/>
      <c r="V61" s="50"/>
      <c r="W61" s="82"/>
      <c r="Y61" s="243"/>
    </row>
    <row r="62" spans="1:27" ht="15.75" customHeight="1" x14ac:dyDescent="0.3">
      <c r="A62" s="33"/>
      <c r="B62" s="33"/>
      <c r="C62" s="47" t="str">
        <f>'[3]2024 Forecast'!C62</f>
        <v>Pool Expense</v>
      </c>
      <c r="D62" s="45"/>
      <c r="E62" s="33"/>
      <c r="F62" s="33"/>
      <c r="G62" s="33"/>
      <c r="H62" s="33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0"/>
      <c r="V62" s="50"/>
      <c r="W62" s="82"/>
      <c r="Y62" s="243"/>
    </row>
    <row r="63" spans="1:27" ht="15.75" customHeight="1" x14ac:dyDescent="0.3">
      <c r="A63" s="33"/>
      <c r="B63" s="33"/>
      <c r="C63" s="33"/>
      <c r="D63" s="45" t="str">
        <f>'[3]2024 Forecast'!D63</f>
        <v>Chemicals</v>
      </c>
      <c r="E63" s="33"/>
      <c r="F63" s="33"/>
      <c r="G63" s="33"/>
      <c r="H63" s="33"/>
      <c r="I63" s="42">
        <v>0</v>
      </c>
      <c r="J63" s="42">
        <v>0</v>
      </c>
      <c r="K63" s="42">
        <v>0</v>
      </c>
      <c r="L63" s="42">
        <v>0</v>
      </c>
      <c r="M63" s="42">
        <v>600</v>
      </c>
      <c r="N63" s="42">
        <v>200</v>
      </c>
      <c r="O63" s="42">
        <v>600</v>
      </c>
      <c r="P63" s="42">
        <v>600</v>
      </c>
      <c r="Q63" s="42">
        <v>0</v>
      </c>
      <c r="R63" s="42">
        <v>0</v>
      </c>
      <c r="S63" s="42">
        <v>0</v>
      </c>
      <c r="T63" s="42">
        <v>250</v>
      </c>
      <c r="U63" s="70">
        <f t="shared" ref="U63:U64" si="18">SUM(I63:T63)</f>
        <v>2250</v>
      </c>
      <c r="V63" s="50">
        <f>'[3]2024 Forecast'!O63</f>
        <v>1979.08</v>
      </c>
      <c r="W63" s="82">
        <f t="shared" ref="W63:W69" si="19">V63-U63</f>
        <v>-270.92000000000007</v>
      </c>
      <c r="Y63" s="243"/>
    </row>
    <row r="64" spans="1:27" ht="15.75" customHeight="1" x14ac:dyDescent="0.3">
      <c r="A64" s="33"/>
      <c r="B64" s="33"/>
      <c r="C64" s="33"/>
      <c r="D64" s="48" t="str">
        <f>'[3]2024 Forecast'!D64</f>
        <v>Deck &amp; Pool Repair</v>
      </c>
      <c r="E64" s="33"/>
      <c r="F64" s="33"/>
      <c r="G64" s="33"/>
      <c r="H64" s="33"/>
      <c r="I64" s="42">
        <v>0</v>
      </c>
      <c r="J64" s="42">
        <v>0</v>
      </c>
      <c r="K64" s="42">
        <v>0</v>
      </c>
      <c r="L64" s="42">
        <v>1200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70">
        <f t="shared" si="18"/>
        <v>1200</v>
      </c>
      <c r="V64" s="50">
        <f>'[3]2024 Forecast'!O64</f>
        <v>2500</v>
      </c>
      <c r="W64" s="82">
        <f t="shared" si="19"/>
        <v>1300</v>
      </c>
      <c r="X64" s="33"/>
      <c r="Y64" s="243"/>
      <c r="Z64" s="33"/>
    </row>
    <row r="65" spans="1:25" ht="15.75" customHeight="1" x14ac:dyDescent="0.3">
      <c r="A65" s="33"/>
      <c r="B65" s="33"/>
      <c r="C65" s="33"/>
      <c r="D65" s="26"/>
      <c r="E65" s="47" t="str">
        <f>'[3]2024 Forecast'!E65</f>
        <v>Payroll Expenses</v>
      </c>
      <c r="F65" s="33"/>
      <c r="G65" s="33"/>
      <c r="H65" s="33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70"/>
      <c r="V65" s="50"/>
      <c r="W65" s="82">
        <f t="shared" si="19"/>
        <v>0</v>
      </c>
      <c r="Y65" s="243"/>
    </row>
    <row r="66" spans="1:25" ht="15.75" customHeight="1" x14ac:dyDescent="0.3">
      <c r="A66" s="33"/>
      <c r="B66" s="33"/>
      <c r="C66" s="33"/>
      <c r="D66" s="48"/>
      <c r="E66" s="26"/>
      <c r="F66" s="356" t="str">
        <f>'[3]2024 Forecast'!F66</f>
        <v>Contract - Attendant</v>
      </c>
      <c r="G66" s="33"/>
      <c r="H66" s="46"/>
      <c r="I66" s="50">
        <f>'[3]Pool Attendents'!C19</f>
        <v>112</v>
      </c>
      <c r="J66" s="50">
        <f>'[3]Pool Attendents'!D19</f>
        <v>56</v>
      </c>
      <c r="K66" s="50">
        <f>'[3]Pool Attendents'!E19</f>
        <v>56</v>
      </c>
      <c r="L66" s="50">
        <f>'[3]Pool Attendents'!F19</f>
        <v>112</v>
      </c>
      <c r="M66" s="50">
        <f>'[3]Pool Attendents'!G19</f>
        <v>0</v>
      </c>
      <c r="N66" s="50">
        <f>'[3]Pool Attendents'!H19</f>
        <v>0</v>
      </c>
      <c r="O66" s="50">
        <f>'[3]Pool Attendents'!I19</f>
        <v>0</v>
      </c>
      <c r="P66" s="50">
        <f>'[3]Pool Attendents'!J19</f>
        <v>0</v>
      </c>
      <c r="Q66" s="50">
        <f>'[3]Pool Attendents'!K19</f>
        <v>0</v>
      </c>
      <c r="R66" s="50">
        <f>'[3]Pool Attendents'!L19</f>
        <v>0</v>
      </c>
      <c r="S66" s="50">
        <f>'[3]Pool Attendents'!M19</f>
        <v>112</v>
      </c>
      <c r="T66" s="50">
        <f>'[3]Pool Attendents'!N19</f>
        <v>56</v>
      </c>
      <c r="U66" s="70">
        <f t="shared" ref="U66:U69" si="20">SUM(I66:T66)</f>
        <v>504</v>
      </c>
      <c r="V66" s="50">
        <f>'[3]2024 Forecast'!O66</f>
        <v>500</v>
      </c>
      <c r="W66" s="82">
        <f t="shared" si="19"/>
        <v>-4</v>
      </c>
      <c r="Y66" s="243"/>
    </row>
    <row r="67" spans="1:25" ht="15.75" customHeight="1" x14ac:dyDescent="0.3">
      <c r="A67" s="33"/>
      <c r="B67" s="322"/>
      <c r="C67" s="33"/>
      <c r="D67" s="48"/>
      <c r="E67" s="26"/>
      <c r="F67" s="356" t="str">
        <f>'[3]2024 Forecast'!F67</f>
        <v>Processing Service</v>
      </c>
      <c r="G67" s="33"/>
      <c r="H67" s="33"/>
      <c r="I67" s="42">
        <v>0</v>
      </c>
      <c r="J67" s="42">
        <v>0</v>
      </c>
      <c r="K67" s="42">
        <v>0</v>
      </c>
      <c r="L67" s="42">
        <v>0</v>
      </c>
      <c r="M67" s="42">
        <v>60</v>
      </c>
      <c r="N67" s="42">
        <v>60</v>
      </c>
      <c r="O67" s="42">
        <v>60</v>
      </c>
      <c r="P67" s="42">
        <v>60</v>
      </c>
      <c r="Q67" s="42">
        <v>60</v>
      </c>
      <c r="R67" s="42">
        <v>60</v>
      </c>
      <c r="S67" s="42">
        <v>0</v>
      </c>
      <c r="T67" s="42">
        <v>0</v>
      </c>
      <c r="U67" s="70">
        <f t="shared" si="20"/>
        <v>360</v>
      </c>
      <c r="V67" s="50">
        <f>'[3]2024 Forecast'!O67</f>
        <v>408.86</v>
      </c>
      <c r="W67" s="82">
        <f t="shared" si="19"/>
        <v>48.860000000000014</v>
      </c>
      <c r="Y67" s="243"/>
    </row>
    <row r="68" spans="1:25" ht="15.75" customHeight="1" x14ac:dyDescent="0.3">
      <c r="A68" s="33"/>
      <c r="B68" s="322"/>
      <c r="C68" s="33"/>
      <c r="D68" s="48"/>
      <c r="E68" s="26"/>
      <c r="F68" s="356" t="str">
        <f>'[3]2024 Forecast'!F68</f>
        <v>Taxes</v>
      </c>
      <c r="G68" s="33"/>
      <c r="H68" s="33"/>
      <c r="I68" s="42">
        <v>0</v>
      </c>
      <c r="J68" s="42">
        <v>0</v>
      </c>
      <c r="K68" s="42">
        <v>0</v>
      </c>
      <c r="L68" s="42">
        <v>0</v>
      </c>
      <c r="M68" s="42">
        <f>M69*0.12</f>
        <v>75.599999999999994</v>
      </c>
      <c r="N68" s="42">
        <f t="shared" ref="N68:R68" si="21">N69*0.12</f>
        <v>352.8</v>
      </c>
      <c r="O68" s="42">
        <f t="shared" si="21"/>
        <v>364.56</v>
      </c>
      <c r="P68" s="42">
        <f t="shared" si="21"/>
        <v>314.36232000000007</v>
      </c>
      <c r="Q68" s="42">
        <f t="shared" si="21"/>
        <v>208.8</v>
      </c>
      <c r="R68" s="42">
        <f t="shared" si="21"/>
        <v>51.6</v>
      </c>
      <c r="S68" s="42">
        <v>0</v>
      </c>
      <c r="T68" s="42">
        <v>0</v>
      </c>
      <c r="U68" s="70">
        <f t="shared" ref="U68" si="22">SUM(I68:T68)</f>
        <v>1367.7223200000001</v>
      </c>
      <c r="V68" s="50">
        <f>'[3]2024 Forecast'!O68</f>
        <v>1001.9200000000001</v>
      </c>
      <c r="W68" s="82">
        <f t="shared" si="19"/>
        <v>-365.80232000000001</v>
      </c>
      <c r="Y68" s="243"/>
    </row>
    <row r="69" spans="1:25" ht="15.75" customHeight="1" x14ac:dyDescent="0.3">
      <c r="A69" s="33"/>
      <c r="B69" s="33"/>
      <c r="C69" s="33"/>
      <c r="D69" s="48"/>
      <c r="E69" s="26"/>
      <c r="F69" s="45" t="str">
        <f>'[3]2024 Forecast'!F69</f>
        <v>Wages for Attendant</v>
      </c>
      <c r="G69" s="33"/>
      <c r="H69" s="33"/>
      <c r="I69" s="74">
        <f>'[3]Pool Attendents'!C17</f>
        <v>0</v>
      </c>
      <c r="J69" s="74">
        <f>'[3]Pool Attendents'!D17</f>
        <v>0</v>
      </c>
      <c r="K69" s="74">
        <f>'[3]Pool Attendents'!E17</f>
        <v>0</v>
      </c>
      <c r="L69" s="74">
        <f>'[3]Pool Attendents'!F17</f>
        <v>0</v>
      </c>
      <c r="M69" s="74">
        <f>'[3]Pool Attendents'!G17</f>
        <v>630</v>
      </c>
      <c r="N69" s="74">
        <f>'[3]Pool Attendents'!H17</f>
        <v>2940</v>
      </c>
      <c r="O69" s="74">
        <f>'[3]Pool Attendents'!I17</f>
        <v>3038</v>
      </c>
      <c r="P69" s="74">
        <f>'[3]Pool Attendents'!J17</f>
        <v>2619.6860000000006</v>
      </c>
      <c r="Q69" s="74">
        <f>'[3]Pool Attendents'!K17</f>
        <v>1740.0000000000002</v>
      </c>
      <c r="R69" s="74">
        <f>'[3]Pool Attendents'!L17</f>
        <v>430</v>
      </c>
      <c r="S69" s="74">
        <f>'[3]Pool Attendents'!M17</f>
        <v>0</v>
      </c>
      <c r="T69" s="74">
        <f>'[3]Pool Attendents'!N17</f>
        <v>0</v>
      </c>
      <c r="U69" s="207">
        <f t="shared" si="20"/>
        <v>11397.686000000002</v>
      </c>
      <c r="V69" s="74">
        <f>'[3]2024 Forecast'!O69</f>
        <v>9199.75</v>
      </c>
      <c r="W69" s="208">
        <f t="shared" si="19"/>
        <v>-2197.9360000000015</v>
      </c>
      <c r="Y69" s="243"/>
    </row>
    <row r="70" spans="1:25" ht="15.75" customHeight="1" x14ac:dyDescent="0.3">
      <c r="A70" s="33"/>
      <c r="B70" s="33"/>
      <c r="C70" s="33"/>
      <c r="D70" s="48"/>
      <c r="E70" s="45"/>
      <c r="F70" s="33"/>
      <c r="G70" s="33"/>
      <c r="H70" s="33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70"/>
      <c r="V70" s="50"/>
      <c r="W70" s="82"/>
      <c r="Y70" s="243"/>
    </row>
    <row r="71" spans="1:25" ht="15.75" customHeight="1" x14ac:dyDescent="0.3">
      <c r="A71" s="33"/>
      <c r="B71" s="33"/>
      <c r="C71" s="33"/>
      <c r="D71" s="48"/>
      <c r="E71" s="33"/>
      <c r="F71" s="47" t="str">
        <f>'[3]2024 Forecast'!F71</f>
        <v>Total Payroll Expenses</v>
      </c>
      <c r="G71" s="33"/>
      <c r="H71" s="33"/>
      <c r="I71" s="44">
        <f t="shared" ref="I71:W71" si="23">SUM(I66:I70)</f>
        <v>112</v>
      </c>
      <c r="J71" s="44">
        <f t="shared" si="23"/>
        <v>56</v>
      </c>
      <c r="K71" s="44">
        <f t="shared" si="23"/>
        <v>56</v>
      </c>
      <c r="L71" s="44">
        <f t="shared" si="23"/>
        <v>112</v>
      </c>
      <c r="M71" s="44">
        <f t="shared" si="23"/>
        <v>765.6</v>
      </c>
      <c r="N71" s="44">
        <f t="shared" si="23"/>
        <v>3352.8</v>
      </c>
      <c r="O71" s="44">
        <f t="shared" si="23"/>
        <v>3462.56</v>
      </c>
      <c r="P71" s="44">
        <f t="shared" si="23"/>
        <v>2994.0483200000008</v>
      </c>
      <c r="Q71" s="44">
        <f t="shared" si="23"/>
        <v>2008.8000000000002</v>
      </c>
      <c r="R71" s="44">
        <f t="shared" si="23"/>
        <v>541.6</v>
      </c>
      <c r="S71" s="44">
        <f t="shared" si="23"/>
        <v>112</v>
      </c>
      <c r="T71" s="44">
        <f t="shared" si="23"/>
        <v>56</v>
      </c>
      <c r="U71" s="72">
        <f t="shared" si="23"/>
        <v>13629.408320000002</v>
      </c>
      <c r="V71" s="44">
        <f t="shared" si="23"/>
        <v>11110.53</v>
      </c>
      <c r="W71" s="84">
        <f t="shared" si="23"/>
        <v>-2518.8783200000016</v>
      </c>
      <c r="Y71" s="242">
        <f>V71-U71</f>
        <v>-2518.8783200000016</v>
      </c>
    </row>
    <row r="72" spans="1:25" ht="15.75" customHeight="1" x14ac:dyDescent="0.3">
      <c r="A72" s="33"/>
      <c r="B72" s="33"/>
      <c r="C72" s="33"/>
      <c r="D72" s="26"/>
      <c r="E72" s="45" t="str">
        <f>'[3]2024 Forecast'!E72</f>
        <v>Permits &amp; License Reqmts - incl. safety course</v>
      </c>
      <c r="F72" s="47"/>
      <c r="G72" s="33"/>
      <c r="H72" s="33" t="s">
        <v>140</v>
      </c>
      <c r="I72" s="42">
        <v>0</v>
      </c>
      <c r="J72" s="42">
        <v>0</v>
      </c>
      <c r="K72" s="42">
        <v>150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70">
        <f t="shared" ref="U72:U76" si="24">SUM(I72:T72)</f>
        <v>150</v>
      </c>
      <c r="V72" s="50">
        <f>'[3]2024 Forecast'!O72</f>
        <v>20</v>
      </c>
      <c r="W72" s="82">
        <f t="shared" ref="W72:W76" si="25">V72-U72</f>
        <v>-130</v>
      </c>
      <c r="Y72" s="242"/>
    </row>
    <row r="73" spans="1:25" ht="15.75" customHeight="1" x14ac:dyDescent="0.3">
      <c r="A73" s="33"/>
      <c r="B73" s="33"/>
      <c r="C73" s="33"/>
      <c r="D73" s="48"/>
      <c r="E73" s="45" t="str">
        <f>'[3]2024 Forecast'!E73</f>
        <v>Pool Cleaning Service</v>
      </c>
      <c r="F73" s="47"/>
      <c r="G73" s="33"/>
      <c r="H73" s="33"/>
      <c r="I73" s="42">
        <v>150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70">
        <f t="shared" si="24"/>
        <v>150</v>
      </c>
      <c r="V73" s="50">
        <f>'[3]2024 Forecast'!O73</f>
        <v>0</v>
      </c>
      <c r="W73" s="82">
        <f t="shared" si="25"/>
        <v>-150</v>
      </c>
      <c r="Y73" s="243"/>
    </row>
    <row r="74" spans="1:25" ht="15.75" customHeight="1" x14ac:dyDescent="0.3">
      <c r="A74" s="33"/>
      <c r="B74" s="33"/>
      <c r="C74" s="33"/>
      <c r="D74" s="48"/>
      <c r="E74" s="45" t="str">
        <f>'[3]2024 Forecast'!E74</f>
        <v>Pool Furniture</v>
      </c>
      <c r="F74" s="47"/>
      <c r="G74" s="33"/>
      <c r="H74" s="33"/>
      <c r="I74" s="42">
        <v>0</v>
      </c>
      <c r="J74" s="42">
        <v>0</v>
      </c>
      <c r="K74" s="42">
        <v>0</v>
      </c>
      <c r="L74" s="42">
        <v>0</v>
      </c>
      <c r="M74" s="42">
        <v>250</v>
      </c>
      <c r="N74" s="42">
        <v>0</v>
      </c>
      <c r="O74" s="42">
        <v>250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70">
        <f t="shared" si="24"/>
        <v>500</v>
      </c>
      <c r="V74" s="50">
        <f>'[3]2024 Forecast'!O74</f>
        <v>0</v>
      </c>
      <c r="W74" s="82">
        <f t="shared" si="25"/>
        <v>-500</v>
      </c>
      <c r="Y74" s="243"/>
    </row>
    <row r="75" spans="1:25" ht="15.75" customHeight="1" x14ac:dyDescent="0.3">
      <c r="A75" s="33"/>
      <c r="B75" s="33"/>
      <c r="C75" s="33"/>
      <c r="D75" s="48"/>
      <c r="E75" s="45" t="str">
        <f>'[3]2024 Forecast'!E75</f>
        <v>Mechanical Repairs</v>
      </c>
      <c r="F75" s="47"/>
      <c r="G75" s="33"/>
      <c r="H75" s="33"/>
      <c r="I75" s="42">
        <v>0</v>
      </c>
      <c r="J75" s="42">
        <v>0</v>
      </c>
      <c r="K75" s="42">
        <v>0</v>
      </c>
      <c r="L75" s="42">
        <v>500</v>
      </c>
      <c r="M75" s="42">
        <v>0</v>
      </c>
      <c r="N75" s="42">
        <v>0</v>
      </c>
      <c r="O75" s="42">
        <v>0</v>
      </c>
      <c r="P75" s="42">
        <v>0</v>
      </c>
      <c r="Q75" s="42">
        <v>500</v>
      </c>
      <c r="R75" s="42">
        <v>0</v>
      </c>
      <c r="S75" s="42">
        <v>0</v>
      </c>
      <c r="T75" s="42">
        <v>0</v>
      </c>
      <c r="U75" s="70">
        <f t="shared" si="24"/>
        <v>1000</v>
      </c>
      <c r="V75" s="50">
        <f>'[3]2024 Forecast'!O75</f>
        <v>350</v>
      </c>
      <c r="W75" s="82">
        <f t="shared" si="25"/>
        <v>-650</v>
      </c>
      <c r="Y75" s="243"/>
    </row>
    <row r="76" spans="1:25" ht="15.75" customHeight="1" x14ac:dyDescent="0.3">
      <c r="A76" s="33"/>
      <c r="B76" s="33"/>
      <c r="C76" s="33"/>
      <c r="D76" s="26"/>
      <c r="E76" s="45" t="str">
        <f>'[3]2024 Forecast'!E76</f>
        <v>Supplies</v>
      </c>
      <c r="F76" s="33"/>
      <c r="G76" s="33"/>
      <c r="H76" s="33"/>
      <c r="I76" s="206">
        <v>0</v>
      </c>
      <c r="J76" s="206">
        <v>0</v>
      </c>
      <c r="K76" s="206">
        <v>0</v>
      </c>
      <c r="L76" s="206">
        <v>650</v>
      </c>
      <c r="M76" s="206">
        <v>150</v>
      </c>
      <c r="N76" s="206">
        <v>300</v>
      </c>
      <c r="O76" s="206">
        <v>300</v>
      </c>
      <c r="P76" s="206">
        <v>300</v>
      </c>
      <c r="Q76" s="206">
        <v>150</v>
      </c>
      <c r="R76" s="206">
        <v>0</v>
      </c>
      <c r="S76" s="206">
        <v>0</v>
      </c>
      <c r="T76" s="206">
        <v>0</v>
      </c>
      <c r="U76" s="207">
        <f t="shared" si="24"/>
        <v>1850</v>
      </c>
      <c r="V76" s="74">
        <f>'[3]2024 Forecast'!O76</f>
        <v>1948.34</v>
      </c>
      <c r="W76" s="208">
        <f t="shared" si="25"/>
        <v>98.339999999999918</v>
      </c>
      <c r="Y76" s="243"/>
    </row>
    <row r="77" spans="1:25" ht="15.75" customHeight="1" x14ac:dyDescent="0.3">
      <c r="A77" s="33"/>
      <c r="B77" s="33"/>
      <c r="C77" s="33"/>
      <c r="D77" s="26"/>
      <c r="E77" s="33"/>
      <c r="F77" s="33"/>
      <c r="G77" s="33"/>
      <c r="H77" s="33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70"/>
      <c r="V77" s="50"/>
      <c r="W77" s="82"/>
      <c r="Y77" s="243"/>
    </row>
    <row r="78" spans="1:25" ht="15.75" customHeight="1" x14ac:dyDescent="0.3">
      <c r="A78" s="33"/>
      <c r="B78" s="33"/>
      <c r="C78" s="33"/>
      <c r="D78" s="47" t="str">
        <f>'[3]2024 Forecast'!D78</f>
        <v>Total Pool Expense</v>
      </c>
      <c r="E78" s="33"/>
      <c r="F78" s="33"/>
      <c r="G78" s="33"/>
      <c r="H78" s="33"/>
      <c r="I78" s="44">
        <f t="shared" ref="I78:W78" si="26">SUM(I63:I64,I71:I76)</f>
        <v>262</v>
      </c>
      <c r="J78" s="44">
        <f t="shared" si="26"/>
        <v>56</v>
      </c>
      <c r="K78" s="44">
        <f t="shared" si="26"/>
        <v>206</v>
      </c>
      <c r="L78" s="44">
        <f t="shared" si="26"/>
        <v>2462</v>
      </c>
      <c r="M78" s="44">
        <f t="shared" si="26"/>
        <v>1765.6</v>
      </c>
      <c r="N78" s="44">
        <f t="shared" si="26"/>
        <v>3852.8</v>
      </c>
      <c r="O78" s="44">
        <f t="shared" si="26"/>
        <v>4612.5599999999995</v>
      </c>
      <c r="P78" s="44">
        <f t="shared" si="26"/>
        <v>3894.0483200000008</v>
      </c>
      <c r="Q78" s="44">
        <f t="shared" si="26"/>
        <v>2658.8</v>
      </c>
      <c r="R78" s="44">
        <f t="shared" si="26"/>
        <v>541.6</v>
      </c>
      <c r="S78" s="44">
        <f t="shared" si="26"/>
        <v>112</v>
      </c>
      <c r="T78" s="44">
        <f t="shared" si="26"/>
        <v>306</v>
      </c>
      <c r="U78" s="72">
        <f t="shared" si="26"/>
        <v>20729.408320000002</v>
      </c>
      <c r="V78" s="44">
        <f t="shared" si="26"/>
        <v>17907.95</v>
      </c>
      <c r="W78" s="84">
        <f t="shared" si="26"/>
        <v>-2821.4583200000015</v>
      </c>
      <c r="X78" s="33"/>
      <c r="Y78" s="242">
        <f>V78-U78</f>
        <v>-2821.4583200000015</v>
      </c>
    </row>
    <row r="79" spans="1:25" ht="15.75" customHeight="1" x14ac:dyDescent="0.3">
      <c r="A79" s="33"/>
      <c r="B79" s="33"/>
      <c r="C79" s="33"/>
      <c r="D79" s="26"/>
      <c r="E79" s="33"/>
      <c r="F79" s="33"/>
      <c r="G79" s="33"/>
      <c r="H79" s="33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70"/>
      <c r="V79" s="50"/>
      <c r="W79" s="82"/>
      <c r="X79" s="33"/>
      <c r="Y79" s="243"/>
    </row>
    <row r="80" spans="1:25" ht="15.75" customHeight="1" x14ac:dyDescent="0.3">
      <c r="A80" s="33"/>
      <c r="B80" s="33"/>
      <c r="C80" s="33"/>
      <c r="D80" s="47" t="str">
        <f>'[3]2024 Forecast'!D80</f>
        <v>Property Management Expenses</v>
      </c>
      <c r="E80" s="33"/>
      <c r="F80" s="33"/>
      <c r="G80" s="33"/>
      <c r="H80" s="164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70"/>
      <c r="V80" s="50"/>
      <c r="W80" s="82"/>
      <c r="X80" s="33"/>
      <c r="Y80" s="243"/>
    </row>
    <row r="81" spans="1:25" ht="15.75" customHeight="1" x14ac:dyDescent="0.3">
      <c r="A81" s="33"/>
      <c r="B81" s="33"/>
      <c r="C81" s="33"/>
      <c r="D81" s="45"/>
      <c r="E81" s="45" t="str">
        <f>'[3]2024 Forecast'!E81</f>
        <v>Monthly Service Management Fee</v>
      </c>
      <c r="F81" s="33"/>
      <c r="G81" s="33"/>
      <c r="H81" s="164"/>
      <c r="I81" s="42">
        <f>985*1.05</f>
        <v>1034.25</v>
      </c>
      <c r="J81" s="50">
        <f>I81</f>
        <v>1034.25</v>
      </c>
      <c r="K81" s="50">
        <f t="shared" ref="K81:T81" si="27">J81</f>
        <v>1034.25</v>
      </c>
      <c r="L81" s="50">
        <f t="shared" si="27"/>
        <v>1034.25</v>
      </c>
      <c r="M81" s="50">
        <f t="shared" si="27"/>
        <v>1034.25</v>
      </c>
      <c r="N81" s="50">
        <f t="shared" si="27"/>
        <v>1034.25</v>
      </c>
      <c r="O81" s="50">
        <f t="shared" si="27"/>
        <v>1034.25</v>
      </c>
      <c r="P81" s="50">
        <f t="shared" si="27"/>
        <v>1034.25</v>
      </c>
      <c r="Q81" s="50">
        <f t="shared" si="27"/>
        <v>1034.25</v>
      </c>
      <c r="R81" s="50">
        <f t="shared" si="27"/>
        <v>1034.25</v>
      </c>
      <c r="S81" s="50">
        <f t="shared" si="27"/>
        <v>1034.25</v>
      </c>
      <c r="T81" s="50">
        <f t="shared" si="27"/>
        <v>1034.25</v>
      </c>
      <c r="U81" s="70">
        <f t="shared" ref="U81:U85" si="28">SUM(I81:T81)</f>
        <v>12411</v>
      </c>
      <c r="V81" s="50">
        <f>'[3]2024 Forecast'!O81</f>
        <v>11265.44</v>
      </c>
      <c r="W81" s="82">
        <f t="shared" ref="W81:W85" si="29">V81-U81</f>
        <v>-1145.5599999999995</v>
      </c>
      <c r="Y81" s="243"/>
    </row>
    <row r="82" spans="1:25" ht="15.75" customHeight="1" x14ac:dyDescent="0.3">
      <c r="A82" s="33"/>
      <c r="B82" s="33"/>
      <c r="C82" s="33"/>
      <c r="D82" s="45"/>
      <c r="E82" s="45" t="str">
        <f>'[3]2024 Forecast'!E82</f>
        <v>Property Management Expenses</v>
      </c>
      <c r="F82" s="33"/>
      <c r="G82" s="33"/>
      <c r="H82" s="164"/>
      <c r="I82" s="42">
        <v>0</v>
      </c>
      <c r="J82" s="42">
        <v>0</v>
      </c>
      <c r="K82" s="42">
        <v>0</v>
      </c>
      <c r="L82" s="42">
        <v>100</v>
      </c>
      <c r="M82" s="42">
        <v>0</v>
      </c>
      <c r="N82" s="42">
        <v>0</v>
      </c>
      <c r="O82" s="42">
        <v>100</v>
      </c>
      <c r="P82" s="42">
        <v>0</v>
      </c>
      <c r="Q82" s="42">
        <v>0</v>
      </c>
      <c r="R82" s="42">
        <v>0</v>
      </c>
      <c r="S82" s="42">
        <v>100</v>
      </c>
      <c r="T82" s="42">
        <v>0</v>
      </c>
      <c r="U82" s="70">
        <f t="shared" ref="U82" si="30">SUM(I82:T82)</f>
        <v>300</v>
      </c>
      <c r="V82" s="50">
        <f>'[3]2024 Forecast'!O82</f>
        <v>28.12</v>
      </c>
      <c r="W82" s="82">
        <f t="shared" si="29"/>
        <v>-271.88</v>
      </c>
      <c r="Y82" s="243"/>
    </row>
    <row r="83" spans="1:25" ht="15.75" customHeight="1" x14ac:dyDescent="0.3">
      <c r="A83" s="33"/>
      <c r="B83" s="33"/>
      <c r="C83" s="33"/>
      <c r="D83" s="45"/>
      <c r="E83" s="45" t="str">
        <f>'[3]2024 Forecast'!E83</f>
        <v>Payroll Preparation</v>
      </c>
      <c r="F83" s="33"/>
      <c r="G83" s="33"/>
      <c r="H83" s="163"/>
      <c r="I83" s="50">
        <f t="shared" ref="I83:L83" si="31">IF(I69&gt;0, 50, 0)</f>
        <v>0</v>
      </c>
      <c r="J83" s="50">
        <f t="shared" si="31"/>
        <v>0</v>
      </c>
      <c r="K83" s="50">
        <f t="shared" si="31"/>
        <v>0</v>
      </c>
      <c r="L83" s="50">
        <f t="shared" si="31"/>
        <v>0</v>
      </c>
      <c r="M83" s="50">
        <f>IF(M69&gt;0, 50, 0)</f>
        <v>50</v>
      </c>
      <c r="N83" s="50">
        <f t="shared" ref="N83:T83" si="32">IF(N69&gt;0, 50, 0)</f>
        <v>50</v>
      </c>
      <c r="O83" s="50">
        <f t="shared" si="32"/>
        <v>50</v>
      </c>
      <c r="P83" s="50">
        <f t="shared" si="32"/>
        <v>50</v>
      </c>
      <c r="Q83" s="50">
        <f t="shared" si="32"/>
        <v>50</v>
      </c>
      <c r="R83" s="50">
        <f t="shared" si="32"/>
        <v>50</v>
      </c>
      <c r="S83" s="50">
        <f t="shared" si="32"/>
        <v>0</v>
      </c>
      <c r="T83" s="50">
        <f t="shared" si="32"/>
        <v>0</v>
      </c>
      <c r="U83" s="70">
        <f t="shared" si="28"/>
        <v>300</v>
      </c>
      <c r="V83" s="50">
        <f>'[3]2024 Forecast'!O83</f>
        <v>150</v>
      </c>
      <c r="W83" s="82">
        <f t="shared" si="29"/>
        <v>-150</v>
      </c>
      <c r="Y83" s="243"/>
    </row>
    <row r="84" spans="1:25" ht="15.75" customHeight="1" x14ac:dyDescent="0.3">
      <c r="A84" s="33"/>
      <c r="B84" s="33"/>
      <c r="C84" s="33"/>
      <c r="D84" s="45"/>
      <c r="E84" s="45" t="str">
        <f>'[3]2024 Forecast'!E84</f>
        <v>Project Management Fee</v>
      </c>
      <c r="F84" s="33"/>
      <c r="G84" s="33"/>
      <c r="H84" s="249">
        <v>0.1</v>
      </c>
      <c r="I84" s="50">
        <f>$H$84*(I75+I146)</f>
        <v>0</v>
      </c>
      <c r="J84" s="50">
        <f t="shared" ref="J84:S84" si="33">$H$84*(J75+J146)</f>
        <v>350</v>
      </c>
      <c r="K84" s="50">
        <f t="shared" si="33"/>
        <v>380</v>
      </c>
      <c r="L84" s="50">
        <f t="shared" si="33"/>
        <v>185</v>
      </c>
      <c r="M84" s="50">
        <f t="shared" si="33"/>
        <v>0</v>
      </c>
      <c r="N84" s="50">
        <f t="shared" si="33"/>
        <v>0</v>
      </c>
      <c r="O84" s="50">
        <f t="shared" si="33"/>
        <v>0</v>
      </c>
      <c r="P84" s="50">
        <f t="shared" si="33"/>
        <v>0</v>
      </c>
      <c r="Q84" s="50">
        <f t="shared" si="33"/>
        <v>50</v>
      </c>
      <c r="R84" s="50">
        <f t="shared" si="33"/>
        <v>0</v>
      </c>
      <c r="S84" s="50">
        <f t="shared" si="33"/>
        <v>0</v>
      </c>
      <c r="T84" s="355">
        <f>$H$84*(T75)</f>
        <v>0</v>
      </c>
      <c r="U84" s="70">
        <f t="shared" si="28"/>
        <v>965</v>
      </c>
      <c r="V84" s="50">
        <f>'[3]2024 Forecast'!O84</f>
        <v>2526.75</v>
      </c>
      <c r="W84" s="82">
        <f t="shared" si="29"/>
        <v>1561.75</v>
      </c>
      <c r="Y84" s="243"/>
    </row>
    <row r="85" spans="1:25" ht="15.75" customHeight="1" x14ac:dyDescent="0.3">
      <c r="A85" s="33"/>
      <c r="B85" s="33"/>
      <c r="C85" s="33"/>
      <c r="D85" s="45"/>
      <c r="E85" s="45" t="str">
        <f>'[3]2024 Forecast'!E85</f>
        <v>Resale Certificate Fee</v>
      </c>
      <c r="F85" s="33"/>
      <c r="G85" s="33"/>
      <c r="H85" s="322"/>
      <c r="I85" s="50">
        <f t="shared" ref="I85:T85" si="34">IF(I19=0,0,150)</f>
        <v>0</v>
      </c>
      <c r="J85" s="50">
        <f t="shared" si="34"/>
        <v>0</v>
      </c>
      <c r="K85" s="50">
        <f t="shared" si="34"/>
        <v>150</v>
      </c>
      <c r="L85" s="50">
        <f t="shared" si="34"/>
        <v>0</v>
      </c>
      <c r="M85" s="50">
        <f t="shared" si="34"/>
        <v>0</v>
      </c>
      <c r="N85" s="50">
        <f t="shared" si="34"/>
        <v>150</v>
      </c>
      <c r="O85" s="50">
        <f t="shared" si="34"/>
        <v>0</v>
      </c>
      <c r="P85" s="50">
        <f t="shared" si="34"/>
        <v>0</v>
      </c>
      <c r="Q85" s="50">
        <f t="shared" si="34"/>
        <v>150</v>
      </c>
      <c r="R85" s="50">
        <f t="shared" si="34"/>
        <v>0</v>
      </c>
      <c r="S85" s="50">
        <f t="shared" si="34"/>
        <v>0</v>
      </c>
      <c r="T85" s="50">
        <f t="shared" si="34"/>
        <v>0</v>
      </c>
      <c r="U85" s="70">
        <f t="shared" si="28"/>
        <v>450</v>
      </c>
      <c r="V85" s="50">
        <f>'[3]2024 Forecast'!O85</f>
        <v>600</v>
      </c>
      <c r="W85" s="82">
        <f t="shared" si="29"/>
        <v>150</v>
      </c>
      <c r="Y85" s="243"/>
    </row>
    <row r="86" spans="1:25" ht="15.75" customHeight="1" x14ac:dyDescent="0.3">
      <c r="A86" s="33"/>
      <c r="B86" s="33"/>
      <c r="C86" s="33"/>
      <c r="D86" s="45"/>
      <c r="E86" s="45"/>
      <c r="F86" s="33"/>
      <c r="G86" s="33"/>
      <c r="H86" s="33"/>
      <c r="I86" s="375"/>
      <c r="J86" s="375"/>
      <c r="K86" s="375"/>
      <c r="L86" s="375"/>
      <c r="M86" s="375"/>
      <c r="N86" s="375"/>
      <c r="O86" s="375"/>
      <c r="P86" s="375"/>
      <c r="Q86" s="375"/>
      <c r="R86" s="375"/>
      <c r="S86" s="375"/>
      <c r="T86" s="375"/>
      <c r="U86" s="71"/>
      <c r="V86" s="376"/>
      <c r="W86" s="83"/>
      <c r="Y86" s="243"/>
    </row>
    <row r="87" spans="1:25" ht="15.75" customHeight="1" x14ac:dyDescent="0.3">
      <c r="A87" s="33"/>
      <c r="B87" s="33"/>
      <c r="C87" s="33"/>
      <c r="D87" s="47" t="str">
        <f>'[3]2024 Forecast'!D87</f>
        <v>Total - Property Management Expenses</v>
      </c>
      <c r="E87" s="33"/>
      <c r="F87" s="33"/>
      <c r="G87" s="33"/>
      <c r="H87" s="33"/>
      <c r="I87" s="44">
        <f>SUM(I81:I86)</f>
        <v>1034.25</v>
      </c>
      <c r="J87" s="44">
        <f t="shared" ref="J87:W87" si="35">SUM(J81:J86)</f>
        <v>1384.25</v>
      </c>
      <c r="K87" s="44">
        <f t="shared" si="35"/>
        <v>1564.25</v>
      </c>
      <c r="L87" s="44">
        <f t="shared" si="35"/>
        <v>1319.25</v>
      </c>
      <c r="M87" s="44">
        <f t="shared" si="35"/>
        <v>1084.25</v>
      </c>
      <c r="N87" s="44">
        <f t="shared" si="35"/>
        <v>1234.25</v>
      </c>
      <c r="O87" s="44">
        <f t="shared" si="35"/>
        <v>1184.25</v>
      </c>
      <c r="P87" s="44">
        <f t="shared" si="35"/>
        <v>1084.25</v>
      </c>
      <c r="Q87" s="44">
        <f t="shared" si="35"/>
        <v>1284.25</v>
      </c>
      <c r="R87" s="44">
        <f t="shared" si="35"/>
        <v>1084.25</v>
      </c>
      <c r="S87" s="44">
        <f t="shared" si="35"/>
        <v>1134.25</v>
      </c>
      <c r="T87" s="44">
        <f t="shared" si="35"/>
        <v>1034.25</v>
      </c>
      <c r="U87" s="72">
        <f t="shared" si="35"/>
        <v>14426</v>
      </c>
      <c r="V87" s="44">
        <f t="shared" si="35"/>
        <v>14570.310000000001</v>
      </c>
      <c r="W87" s="84">
        <f t="shared" si="35"/>
        <v>144.3100000000004</v>
      </c>
      <c r="Y87" s="242">
        <f>V87-U87</f>
        <v>144.31000000000131</v>
      </c>
    </row>
    <row r="88" spans="1:25" ht="15.75" customHeight="1" x14ac:dyDescent="0.3">
      <c r="A88" s="33"/>
      <c r="B88" s="33"/>
      <c r="C88" s="33"/>
      <c r="D88" s="45"/>
      <c r="E88" s="33"/>
      <c r="F88" s="33"/>
      <c r="G88" s="33"/>
      <c r="H88" s="33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70"/>
      <c r="V88" s="50"/>
      <c r="W88" s="82"/>
      <c r="Y88" s="243"/>
    </row>
    <row r="89" spans="1:25" ht="15.75" customHeight="1" x14ac:dyDescent="0.3">
      <c r="A89" s="33"/>
      <c r="B89" s="33"/>
      <c r="C89" s="33"/>
      <c r="D89" s="47" t="str">
        <f>'[3]2024 Forecast'!D89</f>
        <v>Utilities</v>
      </c>
      <c r="E89" s="45"/>
      <c r="F89" s="33"/>
      <c r="G89" s="33"/>
      <c r="H89" s="33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70"/>
      <c r="V89" s="50"/>
      <c r="W89" s="82"/>
      <c r="Y89" s="243"/>
    </row>
    <row r="90" spans="1:25" ht="15.75" customHeight="1" x14ac:dyDescent="0.3">
      <c r="A90" s="33"/>
      <c r="B90" s="33"/>
      <c r="C90" s="33"/>
      <c r="D90" s="47"/>
      <c r="E90" s="33" t="str">
        <f>'[3]2024 Forecast'!E90</f>
        <v>Telephone</v>
      </c>
      <c r="F90" s="33"/>
      <c r="G90" s="33"/>
      <c r="H90" s="33"/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70">
        <f t="shared" ref="U90:U94" si="36">SUM(I90:T90)</f>
        <v>0</v>
      </c>
      <c r="V90" s="50">
        <f>'[3]2024 Forecast'!O90</f>
        <v>0</v>
      </c>
      <c r="W90" s="82">
        <f t="shared" ref="W90:W94" si="37">V90-U90</f>
        <v>0</v>
      </c>
      <c r="Y90" s="243"/>
    </row>
    <row r="91" spans="1:25" ht="15.75" customHeight="1" x14ac:dyDescent="0.3">
      <c r="A91" s="33"/>
      <c r="B91" s="33"/>
      <c r="C91" s="33"/>
      <c r="D91" s="47"/>
      <c r="E91" s="33" t="str">
        <f>'[3]2024 Forecast'!E91</f>
        <v>AT&amp;T internet</v>
      </c>
      <c r="F91" s="33"/>
      <c r="G91" s="33"/>
      <c r="H91" s="33"/>
      <c r="I91" s="42">
        <v>84.89</v>
      </c>
      <c r="J91" s="50">
        <f>I91</f>
        <v>84.89</v>
      </c>
      <c r="K91" s="50">
        <f t="shared" ref="K91:T92" si="38">J91</f>
        <v>84.89</v>
      </c>
      <c r="L91" s="50">
        <f t="shared" si="38"/>
        <v>84.89</v>
      </c>
      <c r="M91" s="50">
        <f t="shared" si="38"/>
        <v>84.89</v>
      </c>
      <c r="N91" s="50">
        <f t="shared" si="38"/>
        <v>84.89</v>
      </c>
      <c r="O91" s="50">
        <f t="shared" si="38"/>
        <v>84.89</v>
      </c>
      <c r="P91" s="50">
        <f t="shared" si="38"/>
        <v>84.89</v>
      </c>
      <c r="Q91" s="50">
        <f t="shared" si="38"/>
        <v>84.89</v>
      </c>
      <c r="R91" s="50">
        <f t="shared" si="38"/>
        <v>84.89</v>
      </c>
      <c r="S91" s="50">
        <f t="shared" si="38"/>
        <v>84.89</v>
      </c>
      <c r="T91" s="50">
        <f t="shared" si="38"/>
        <v>84.89</v>
      </c>
      <c r="U91" s="70">
        <f t="shared" si="36"/>
        <v>1018.68</v>
      </c>
      <c r="V91" s="50">
        <f>'[3]2024 Forecast'!O91</f>
        <v>339.56</v>
      </c>
      <c r="W91" s="82">
        <f t="shared" si="37"/>
        <v>-679.11999999999989</v>
      </c>
      <c r="Y91" s="243"/>
    </row>
    <row r="92" spans="1:25" ht="15.75" customHeight="1" x14ac:dyDescent="0.3">
      <c r="A92" s="33"/>
      <c r="B92" s="33"/>
      <c r="C92" s="33"/>
      <c r="D92" s="47"/>
      <c r="E92" s="33" t="str">
        <f>'[3]2024 Forecast'!E92</f>
        <v>Arapaho W&amp;S</v>
      </c>
      <c r="F92" s="33"/>
      <c r="G92" s="33"/>
      <c r="H92" s="33"/>
      <c r="I92" s="42">
        <f>5.46*6</f>
        <v>32.76</v>
      </c>
      <c r="J92" s="50">
        <f>I92</f>
        <v>32.76</v>
      </c>
      <c r="K92" s="50">
        <f t="shared" si="38"/>
        <v>32.76</v>
      </c>
      <c r="L92" s="50">
        <f t="shared" si="38"/>
        <v>32.76</v>
      </c>
      <c r="M92" s="50">
        <f t="shared" si="38"/>
        <v>32.76</v>
      </c>
      <c r="N92" s="50">
        <f t="shared" si="38"/>
        <v>32.76</v>
      </c>
      <c r="O92" s="50">
        <f t="shared" si="38"/>
        <v>32.76</v>
      </c>
      <c r="P92" s="50">
        <f t="shared" si="38"/>
        <v>32.76</v>
      </c>
      <c r="Q92" s="50">
        <f t="shared" si="38"/>
        <v>32.76</v>
      </c>
      <c r="R92" s="50">
        <f t="shared" si="38"/>
        <v>32.76</v>
      </c>
      <c r="S92" s="50">
        <f t="shared" si="38"/>
        <v>32.76</v>
      </c>
      <c r="T92" s="50">
        <f t="shared" si="38"/>
        <v>32.76</v>
      </c>
      <c r="U92" s="70">
        <f t="shared" si="36"/>
        <v>393.11999999999995</v>
      </c>
      <c r="V92" s="50">
        <f>'[3]2024 Forecast'!O92</f>
        <v>445.56</v>
      </c>
      <c r="W92" s="82">
        <f t="shared" si="37"/>
        <v>52.440000000000055</v>
      </c>
      <c r="Y92" s="243"/>
    </row>
    <row r="93" spans="1:25" ht="15.75" customHeight="1" x14ac:dyDescent="0.3">
      <c r="A93" s="33"/>
      <c r="B93" s="33"/>
      <c r="C93" s="33"/>
      <c r="D93" s="33"/>
      <c r="E93" s="45" t="str">
        <f>'[3]2024 Forecast'!E93</f>
        <v>Electric</v>
      </c>
      <c r="F93" s="33"/>
      <c r="G93" s="33"/>
      <c r="H93" s="33"/>
      <c r="I93" s="42">
        <v>275</v>
      </c>
      <c r="J93" s="42">
        <v>275</v>
      </c>
      <c r="K93" s="42">
        <v>275</v>
      </c>
      <c r="L93" s="42">
        <v>275</v>
      </c>
      <c r="M93" s="42">
        <v>315</v>
      </c>
      <c r="N93" s="42">
        <v>350</v>
      </c>
      <c r="O93" s="42">
        <v>350</v>
      </c>
      <c r="P93" s="42">
        <v>350</v>
      </c>
      <c r="Q93" s="42">
        <v>315</v>
      </c>
      <c r="R93" s="42">
        <v>275</v>
      </c>
      <c r="S93" s="42">
        <v>275</v>
      </c>
      <c r="T93" s="42">
        <v>275</v>
      </c>
      <c r="U93" s="70">
        <f t="shared" si="36"/>
        <v>3605</v>
      </c>
      <c r="V93" s="50">
        <f>'[3]2024 Forecast'!O93</f>
        <v>3511.7</v>
      </c>
      <c r="W93" s="82">
        <f t="shared" si="37"/>
        <v>-93.300000000000182</v>
      </c>
      <c r="Y93" s="243"/>
    </row>
    <row r="94" spans="1:25" ht="15.75" customHeight="1" x14ac:dyDescent="0.3">
      <c r="A94" s="33"/>
      <c r="B94" s="33"/>
      <c r="C94" s="33"/>
      <c r="D94" s="33"/>
      <c r="E94" s="45" t="str">
        <f>'[3]2024 Forecast'!E94</f>
        <v>Water &amp; Sewage - park</v>
      </c>
      <c r="F94" s="33"/>
      <c r="G94" s="33"/>
      <c r="H94" s="33"/>
      <c r="I94" s="206">
        <v>300</v>
      </c>
      <c r="J94" s="206">
        <v>350</v>
      </c>
      <c r="K94" s="206">
        <v>600</v>
      </c>
      <c r="L94" s="206">
        <v>650</v>
      </c>
      <c r="M94" s="206">
        <v>850</v>
      </c>
      <c r="N94" s="206">
        <f>O94</f>
        <v>2100</v>
      </c>
      <c r="O94" s="206">
        <f>P94</f>
        <v>2100</v>
      </c>
      <c r="P94" s="206">
        <v>2100</v>
      </c>
      <c r="Q94" s="206">
        <v>1800</v>
      </c>
      <c r="R94" s="206">
        <v>850</v>
      </c>
      <c r="S94" s="206">
        <f>R94</f>
        <v>850</v>
      </c>
      <c r="T94" s="206">
        <v>650</v>
      </c>
      <c r="U94" s="207">
        <f t="shared" si="36"/>
        <v>13200</v>
      </c>
      <c r="V94" s="74">
        <f>'[3]2024 Forecast'!O94</f>
        <v>13208.98</v>
      </c>
      <c r="W94" s="208">
        <f t="shared" si="37"/>
        <v>8.9799999999995634</v>
      </c>
      <c r="X94" s="33"/>
      <c r="Y94" s="243"/>
    </row>
    <row r="95" spans="1:25" ht="10.5" customHeight="1" x14ac:dyDescent="0.3">
      <c r="A95" s="33"/>
      <c r="B95" s="33"/>
      <c r="C95" s="33"/>
      <c r="D95" s="33"/>
      <c r="E95" s="45"/>
      <c r="F95" s="33"/>
      <c r="G95" s="33"/>
      <c r="H95" s="33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70"/>
      <c r="V95" s="50"/>
      <c r="W95" s="82"/>
      <c r="Y95" s="243"/>
    </row>
    <row r="96" spans="1:25" ht="15.75" customHeight="1" x14ac:dyDescent="0.3">
      <c r="A96" s="33"/>
      <c r="B96" s="33"/>
      <c r="C96" s="33"/>
      <c r="D96" s="47" t="str">
        <f>'[3]2024 Forecast'!D96</f>
        <v>Total Utilities</v>
      </c>
      <c r="E96" s="45"/>
      <c r="F96" s="33"/>
      <c r="G96" s="33"/>
      <c r="H96" s="33"/>
      <c r="I96" s="44">
        <f>SUM(I89:I95)</f>
        <v>692.65</v>
      </c>
      <c r="J96" s="44">
        <f t="shared" ref="J96:W96" si="39">SUM(J89:J95)</f>
        <v>742.65</v>
      </c>
      <c r="K96" s="44">
        <f t="shared" si="39"/>
        <v>992.65</v>
      </c>
      <c r="L96" s="44">
        <f t="shared" si="39"/>
        <v>1042.6500000000001</v>
      </c>
      <c r="M96" s="44">
        <f t="shared" si="39"/>
        <v>1282.6500000000001</v>
      </c>
      <c r="N96" s="44">
        <f t="shared" si="39"/>
        <v>2567.65</v>
      </c>
      <c r="O96" s="44">
        <f t="shared" si="39"/>
        <v>2567.65</v>
      </c>
      <c r="P96" s="44">
        <f t="shared" si="39"/>
        <v>2567.65</v>
      </c>
      <c r="Q96" s="44">
        <f t="shared" si="39"/>
        <v>2232.65</v>
      </c>
      <c r="R96" s="44">
        <f t="shared" si="39"/>
        <v>1242.6500000000001</v>
      </c>
      <c r="S96" s="44">
        <f t="shared" si="39"/>
        <v>1242.6500000000001</v>
      </c>
      <c r="T96" s="44">
        <f t="shared" si="39"/>
        <v>1042.6500000000001</v>
      </c>
      <c r="U96" s="72">
        <f t="shared" si="39"/>
        <v>18216.8</v>
      </c>
      <c r="V96" s="44">
        <f t="shared" si="39"/>
        <v>17505.8</v>
      </c>
      <c r="W96" s="84">
        <f t="shared" si="39"/>
        <v>-711.00000000000045</v>
      </c>
      <c r="Y96" s="242">
        <f>V96-U96</f>
        <v>-711</v>
      </c>
    </row>
    <row r="97" spans="1:28" ht="15.75" customHeight="1" x14ac:dyDescent="0.3">
      <c r="A97" s="33"/>
      <c r="B97" s="33"/>
      <c r="C97" s="33"/>
      <c r="D97" s="45"/>
      <c r="E97" s="33"/>
      <c r="F97" s="33"/>
      <c r="G97" s="33"/>
      <c r="H97" s="33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70"/>
      <c r="V97" s="50"/>
      <c r="W97" s="82"/>
      <c r="Y97" s="243"/>
    </row>
    <row r="98" spans="1:28" ht="15.75" customHeight="1" x14ac:dyDescent="0.3">
      <c r="A98" s="33"/>
      <c r="B98" s="33"/>
      <c r="C98" s="47" t="str">
        <f>'[3]2024 Forecast'!C98</f>
        <v>Total Expense</v>
      </c>
      <c r="D98" s="33"/>
      <c r="E98" s="45"/>
      <c r="F98" s="33"/>
      <c r="G98" s="33"/>
      <c r="H98" s="33"/>
      <c r="I98" s="44">
        <f>I38+I48+I60+I78+I87+I96</f>
        <v>6361.3534958204236</v>
      </c>
      <c r="J98" s="44">
        <f t="shared" ref="J98:V98" si="40">J38+J48+J60+J78+J87+J96</f>
        <v>5411.0546604396004</v>
      </c>
      <c r="K98" s="44">
        <f t="shared" si="40"/>
        <v>6204.6448455095797</v>
      </c>
      <c r="L98" s="44">
        <f t="shared" si="40"/>
        <v>14625.875556309706</v>
      </c>
      <c r="M98" s="44">
        <f t="shared" si="40"/>
        <v>7773.4826532019542</v>
      </c>
      <c r="N98" s="44">
        <f t="shared" si="40"/>
        <v>16426.568409049014</v>
      </c>
      <c r="O98" s="44">
        <f t="shared" si="40"/>
        <v>13589.428523105789</v>
      </c>
      <c r="P98" s="44">
        <f t="shared" si="40"/>
        <v>12412.857536605459</v>
      </c>
      <c r="Q98" s="44">
        <f t="shared" si="40"/>
        <v>12424.08304785112</v>
      </c>
      <c r="R98" s="44">
        <f t="shared" si="40"/>
        <v>9309.0103044776879</v>
      </c>
      <c r="S98" s="44">
        <f t="shared" si="40"/>
        <v>5471.2847348130363</v>
      </c>
      <c r="T98" s="44">
        <f t="shared" si="40"/>
        <v>5866.7492774375169</v>
      </c>
      <c r="U98" s="72">
        <f t="shared" si="40"/>
        <v>115876.3930446209</v>
      </c>
      <c r="V98" s="44">
        <f t="shared" si="40"/>
        <v>117459.77498881734</v>
      </c>
      <c r="W98" s="84">
        <f>W38+W48+W60+W78+W87+W96</f>
        <v>1583.3819441964565</v>
      </c>
      <c r="Y98" s="242">
        <f>V98-U98</f>
        <v>1583.3819441964442</v>
      </c>
    </row>
    <row r="99" spans="1:28" ht="15.75" customHeight="1" x14ac:dyDescent="0.3">
      <c r="A99" s="33"/>
      <c r="B99" s="33"/>
      <c r="C99" s="33"/>
      <c r="D99" s="45"/>
      <c r="E99" s="45"/>
      <c r="F99" s="33"/>
      <c r="G99" s="33"/>
      <c r="H99" s="3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70"/>
      <c r="V99" s="50"/>
      <c r="W99" s="82"/>
      <c r="Y99" s="244"/>
    </row>
    <row r="100" spans="1:28" ht="15.75" customHeight="1" x14ac:dyDescent="0.3">
      <c r="A100" s="33"/>
      <c r="B100" s="47" t="s">
        <v>107</v>
      </c>
      <c r="C100" s="33"/>
      <c r="D100" s="45"/>
      <c r="E100" s="45"/>
      <c r="F100" s="33"/>
      <c r="G100" s="33"/>
      <c r="H100" s="33"/>
      <c r="I100" s="138">
        <f t="shared" ref="I100:V100" si="41">I22-I98</f>
        <v>8216.1231534817671</v>
      </c>
      <c r="J100" s="138">
        <f t="shared" si="41"/>
        <v>7061.7908312346935</v>
      </c>
      <c r="K100" s="138">
        <f t="shared" si="41"/>
        <v>6620.683869917777</v>
      </c>
      <c r="L100" s="138">
        <f t="shared" si="41"/>
        <v>-1816.4883698463254</v>
      </c>
      <c r="M100" s="138">
        <f t="shared" si="41"/>
        <v>3801.8925416527854</v>
      </c>
      <c r="N100" s="138">
        <f t="shared" si="41"/>
        <v>-4432.9454917281364</v>
      </c>
      <c r="O100" s="138">
        <f t="shared" si="41"/>
        <v>-2016.5767038537251</v>
      </c>
      <c r="P100" s="138">
        <f t="shared" si="41"/>
        <v>-842.91799548367271</v>
      </c>
      <c r="Q100" s="138">
        <f t="shared" si="41"/>
        <v>-505.92903877113713</v>
      </c>
      <c r="R100" s="138">
        <f t="shared" si="41"/>
        <v>2257.6660199221824</v>
      </c>
      <c r="S100" s="138">
        <f t="shared" si="41"/>
        <v>6096.5874364781976</v>
      </c>
      <c r="T100" s="138">
        <f t="shared" si="41"/>
        <v>5923.5321767304104</v>
      </c>
      <c r="U100" s="139">
        <f t="shared" si="41"/>
        <v>30363.418429734797</v>
      </c>
      <c r="V100" s="138">
        <f t="shared" si="41"/>
        <v>24315.540323792899</v>
      </c>
      <c r="W100" s="212">
        <f>W98+W22</f>
        <v>6047.8781059419325</v>
      </c>
      <c r="Y100" s="242">
        <f>U100-V100</f>
        <v>6047.878105941898</v>
      </c>
    </row>
    <row r="101" spans="1:28" ht="15.75" customHeight="1" x14ac:dyDescent="0.3">
      <c r="A101" s="33"/>
      <c r="B101" s="33"/>
      <c r="C101" s="33"/>
      <c r="D101" s="45"/>
      <c r="E101" s="45"/>
      <c r="F101" s="33"/>
      <c r="G101" s="33"/>
      <c r="H101" s="33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70"/>
      <c r="V101" s="50"/>
      <c r="W101" s="82"/>
      <c r="Y101" s="194"/>
    </row>
    <row r="102" spans="1:28" ht="15.75" customHeight="1" x14ac:dyDescent="0.3">
      <c r="A102" s="33"/>
      <c r="B102" s="33"/>
      <c r="C102" s="47" t="str">
        <f>'[3]2024 Forecast'!C102</f>
        <v>Other (Income) / Expenses</v>
      </c>
      <c r="D102" s="45"/>
      <c r="E102" s="45"/>
      <c r="F102" s="33"/>
      <c r="G102" s="33"/>
      <c r="H102" s="33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70"/>
      <c r="V102" s="50"/>
      <c r="W102" s="82"/>
      <c r="Y102" s="243"/>
    </row>
    <row r="103" spans="1:28" ht="15.75" customHeight="1" x14ac:dyDescent="0.3">
      <c r="A103" s="33"/>
      <c r="B103" s="33"/>
      <c r="C103" s="33"/>
      <c r="D103" s="47" t="str">
        <f>'[3]2024 Forecast'!D103</f>
        <v>Project and Required Maintenance</v>
      </c>
      <c r="E103" s="33"/>
      <c r="F103" s="33"/>
      <c r="G103" s="26"/>
      <c r="H103" s="33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70"/>
      <c r="V103" s="50"/>
      <c r="W103" s="82"/>
      <c r="X103" s="33"/>
      <c r="Y103" s="243"/>
    </row>
    <row r="104" spans="1:28" ht="15.75" customHeight="1" x14ac:dyDescent="0.3">
      <c r="A104" s="33"/>
      <c r="B104" s="33"/>
      <c r="C104" s="33"/>
      <c r="D104" s="45"/>
      <c r="E104" s="48" t="str">
        <f>'[3]2024 Forecast'!E104</f>
        <v>2024 - Pool Renovation</v>
      </c>
      <c r="F104" s="45"/>
      <c r="G104" s="26"/>
      <c r="H104" s="33"/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70">
        <f t="shared" ref="U104:U106" si="42">SUM(I104:T104)</f>
        <v>0</v>
      </c>
      <c r="V104" s="50">
        <f>'[3]2024 Forecast'!O104</f>
        <v>86958.69</v>
      </c>
      <c r="W104" s="82">
        <f t="shared" ref="W104" si="43">V104-U104</f>
        <v>86958.69</v>
      </c>
      <c r="X104" s="33"/>
      <c r="Y104" s="243"/>
    </row>
    <row r="105" spans="1:28" ht="15.75" customHeight="1" x14ac:dyDescent="0.3">
      <c r="A105" s="33"/>
      <c r="B105" s="33"/>
      <c r="C105" s="33"/>
      <c r="D105" s="45"/>
      <c r="E105" s="48" t="str">
        <f>'[3]2024 Forecast'!E105</f>
        <v>Other</v>
      </c>
      <c r="F105" s="33"/>
      <c r="G105" s="26"/>
      <c r="H105" s="33"/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70">
        <f t="shared" si="42"/>
        <v>0</v>
      </c>
      <c r="V105" s="50">
        <f>'[3]2024 Forecast'!O105</f>
        <v>0</v>
      </c>
      <c r="W105" s="82">
        <f t="shared" ref="W105:W106" si="44">U105-V105</f>
        <v>0</v>
      </c>
      <c r="Y105" s="243"/>
    </row>
    <row r="106" spans="1:28" ht="15.75" customHeight="1" x14ac:dyDescent="0.3">
      <c r="A106" s="33"/>
      <c r="B106" s="33"/>
      <c r="C106" s="33"/>
      <c r="D106" s="45"/>
      <c r="E106" s="143" t="s">
        <v>208</v>
      </c>
      <c r="F106" s="33"/>
      <c r="G106" s="26"/>
      <c r="H106" s="33"/>
      <c r="I106" s="50">
        <f>I146</f>
        <v>0</v>
      </c>
      <c r="J106" s="50">
        <f t="shared" ref="J106:S106" si="45">J146</f>
        <v>3500</v>
      </c>
      <c r="K106" s="50">
        <f t="shared" si="45"/>
        <v>3800</v>
      </c>
      <c r="L106" s="50">
        <f t="shared" si="45"/>
        <v>1350</v>
      </c>
      <c r="M106" s="50">
        <f t="shared" si="45"/>
        <v>0</v>
      </c>
      <c r="N106" s="50">
        <f t="shared" si="45"/>
        <v>0</v>
      </c>
      <c r="O106" s="50">
        <f t="shared" si="45"/>
        <v>0</v>
      </c>
      <c r="P106" s="50">
        <f t="shared" si="45"/>
        <v>0</v>
      </c>
      <c r="Q106" s="50">
        <f t="shared" si="45"/>
        <v>0</v>
      </c>
      <c r="R106" s="50">
        <f t="shared" si="45"/>
        <v>0</v>
      </c>
      <c r="S106" s="50">
        <f t="shared" si="45"/>
        <v>0</v>
      </c>
      <c r="T106" s="354">
        <f>T146*0</f>
        <v>0</v>
      </c>
      <c r="U106" s="70">
        <f t="shared" si="42"/>
        <v>8650</v>
      </c>
      <c r="V106" s="50">
        <f>'[3]2024 Forecast'!O106</f>
        <v>0</v>
      </c>
      <c r="W106" s="82">
        <f t="shared" si="44"/>
        <v>8650</v>
      </c>
      <c r="Y106" s="243"/>
    </row>
    <row r="107" spans="1:28" ht="15.75" customHeight="1" x14ac:dyDescent="0.3">
      <c r="A107" s="33"/>
      <c r="B107" s="33"/>
      <c r="C107" s="33"/>
      <c r="D107" s="47" t="str">
        <f>'[3]2024 Forecast'!D107</f>
        <v>Total Other Expenses</v>
      </c>
      <c r="E107" s="45"/>
      <c r="F107" s="33"/>
      <c r="G107" s="33"/>
      <c r="H107" s="33"/>
      <c r="I107" s="378">
        <f t="shared" ref="I107:W107" si="46">SUM(I104:I106)</f>
        <v>0</v>
      </c>
      <c r="J107" s="378">
        <f t="shared" si="46"/>
        <v>3500</v>
      </c>
      <c r="K107" s="378">
        <f t="shared" si="46"/>
        <v>3800</v>
      </c>
      <c r="L107" s="378">
        <f t="shared" si="46"/>
        <v>1350</v>
      </c>
      <c r="M107" s="378">
        <f t="shared" si="46"/>
        <v>0</v>
      </c>
      <c r="N107" s="378">
        <f t="shared" si="46"/>
        <v>0</v>
      </c>
      <c r="O107" s="378">
        <f t="shared" si="46"/>
        <v>0</v>
      </c>
      <c r="P107" s="378">
        <f t="shared" si="46"/>
        <v>0</v>
      </c>
      <c r="Q107" s="378">
        <f t="shared" si="46"/>
        <v>0</v>
      </c>
      <c r="R107" s="378">
        <f t="shared" si="46"/>
        <v>0</v>
      </c>
      <c r="S107" s="378">
        <f t="shared" si="46"/>
        <v>0</v>
      </c>
      <c r="T107" s="378">
        <f t="shared" si="46"/>
        <v>0</v>
      </c>
      <c r="U107" s="73">
        <f t="shared" si="46"/>
        <v>8650</v>
      </c>
      <c r="V107" s="378">
        <f t="shared" si="46"/>
        <v>86958.69</v>
      </c>
      <c r="W107" s="85">
        <f t="shared" si="46"/>
        <v>95608.69</v>
      </c>
      <c r="Y107" s="242">
        <f>U107-V107</f>
        <v>-78308.69</v>
      </c>
    </row>
    <row r="108" spans="1:28" ht="15.75" customHeight="1" x14ac:dyDescent="0.3">
      <c r="A108" s="33"/>
      <c r="B108" s="33"/>
      <c r="C108" s="33"/>
      <c r="D108" s="45"/>
      <c r="E108" s="45"/>
      <c r="F108" s="33"/>
      <c r="G108" s="33"/>
      <c r="H108" s="3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70"/>
      <c r="V108" s="50"/>
      <c r="W108" s="82"/>
      <c r="Y108" s="244"/>
    </row>
    <row r="109" spans="1:28" ht="15.75" customHeight="1" x14ac:dyDescent="0.3">
      <c r="A109" s="33"/>
      <c r="B109" s="47" t="s">
        <v>108</v>
      </c>
      <c r="C109" s="45"/>
      <c r="D109" s="45"/>
      <c r="E109" s="45"/>
      <c r="F109" s="33"/>
      <c r="G109" s="33"/>
      <c r="H109" s="33"/>
      <c r="I109" s="138">
        <f t="shared" ref="I109:V109" si="47">I100-I107</f>
        <v>8216.1231534817671</v>
      </c>
      <c r="J109" s="138">
        <f t="shared" si="47"/>
        <v>3561.7908312346935</v>
      </c>
      <c r="K109" s="138">
        <f t="shared" si="47"/>
        <v>2820.683869917777</v>
      </c>
      <c r="L109" s="138">
        <f t="shared" si="47"/>
        <v>-3166.4883698463254</v>
      </c>
      <c r="M109" s="138">
        <f t="shared" si="47"/>
        <v>3801.8925416527854</v>
      </c>
      <c r="N109" s="138">
        <f t="shared" si="47"/>
        <v>-4432.9454917281364</v>
      </c>
      <c r="O109" s="138">
        <f t="shared" si="47"/>
        <v>-2016.5767038537251</v>
      </c>
      <c r="P109" s="138">
        <f t="shared" si="47"/>
        <v>-842.91799548367271</v>
      </c>
      <c r="Q109" s="138">
        <f t="shared" si="47"/>
        <v>-505.92903877113713</v>
      </c>
      <c r="R109" s="138">
        <f t="shared" si="47"/>
        <v>2257.6660199221824</v>
      </c>
      <c r="S109" s="138">
        <f t="shared" si="47"/>
        <v>6096.5874364781976</v>
      </c>
      <c r="T109" s="138">
        <f t="shared" si="47"/>
        <v>5923.5321767304104</v>
      </c>
      <c r="U109" s="139">
        <f t="shared" si="47"/>
        <v>21713.418429734797</v>
      </c>
      <c r="V109" s="138">
        <f t="shared" si="47"/>
        <v>-62643.149676207104</v>
      </c>
      <c r="W109" s="212">
        <f>W107+W100</f>
        <v>101656.56810594193</v>
      </c>
      <c r="Y109" s="242">
        <f>U109-V109</f>
        <v>84356.5681059419</v>
      </c>
      <c r="AB109" s="52"/>
    </row>
    <row r="110" spans="1:28" ht="15.75" customHeight="1" x14ac:dyDescent="0.3">
      <c r="A110" s="33"/>
      <c r="B110" s="33"/>
      <c r="C110" s="33"/>
      <c r="D110" s="45"/>
      <c r="E110" s="45"/>
      <c r="F110" s="45"/>
      <c r="G110" s="4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237"/>
      <c r="V110" s="33"/>
      <c r="W110" s="238"/>
      <c r="X110" s="33"/>
      <c r="Y110" s="194"/>
      <c r="Z110" s="33"/>
      <c r="AB110" s="52"/>
    </row>
    <row r="111" spans="1:28" ht="15.75" customHeight="1" x14ac:dyDescent="0.3">
      <c r="A111" s="33"/>
      <c r="B111" s="33"/>
      <c r="C111" s="33"/>
      <c r="D111" s="45"/>
      <c r="E111" s="45"/>
      <c r="F111" s="45"/>
      <c r="G111" s="4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237"/>
      <c r="V111" s="33"/>
      <c r="W111" s="238"/>
      <c r="X111" s="33"/>
      <c r="Y111" s="194"/>
      <c r="Z111" s="33"/>
      <c r="AB111" s="52"/>
    </row>
    <row r="112" spans="1:28" ht="15.75" customHeight="1" x14ac:dyDescent="0.3">
      <c r="A112" s="33"/>
      <c r="B112" s="33"/>
      <c r="C112" s="33" t="s">
        <v>129</v>
      </c>
      <c r="D112" s="45"/>
      <c r="E112" s="45"/>
      <c r="F112" s="45"/>
      <c r="G112" s="45"/>
      <c r="H112" s="33"/>
      <c r="I112" s="50">
        <f>I128</f>
        <v>948.63983751290846</v>
      </c>
      <c r="J112" s="50">
        <f t="shared" ref="J112:T112" si="48">J128</f>
        <v>992.93867289373247</v>
      </c>
      <c r="K112" s="50">
        <f t="shared" si="48"/>
        <v>964.34848782375343</v>
      </c>
      <c r="L112" s="50">
        <f t="shared" si="48"/>
        <v>983.84777702362771</v>
      </c>
      <c r="M112" s="50">
        <f t="shared" si="48"/>
        <v>980.11068013137844</v>
      </c>
      <c r="N112" s="50">
        <f t="shared" si="48"/>
        <v>999.2249242843194</v>
      </c>
      <c r="O112" s="50">
        <f t="shared" si="48"/>
        <v>996.12481022754389</v>
      </c>
      <c r="P112" s="50">
        <f t="shared" si="48"/>
        <v>1004.1841167278739</v>
      </c>
      <c r="Q112" s="50">
        <f t="shared" si="48"/>
        <v>1022.710285482213</v>
      </c>
      <c r="R112" s="50">
        <f t="shared" si="48"/>
        <v>1020.5830288556451</v>
      </c>
      <c r="S112" s="50">
        <f t="shared" si="48"/>
        <v>1038.7085985202978</v>
      </c>
      <c r="T112" s="50">
        <f t="shared" si="48"/>
        <v>1037.2440558958158</v>
      </c>
      <c r="U112" s="70">
        <f t="shared" ref="U112" si="49">SUM(I112:T112)</f>
        <v>11988.665275379106</v>
      </c>
      <c r="V112" s="50">
        <f>'[3]2024 Forecast'!O112</f>
        <v>7676.1001374189145</v>
      </c>
      <c r="W112" s="82">
        <f t="shared" ref="W112" si="50">V112-U112</f>
        <v>-4312.5651379601914</v>
      </c>
      <c r="X112" s="33"/>
      <c r="Y112" s="194"/>
      <c r="Z112" s="33"/>
      <c r="AB112" s="52"/>
    </row>
    <row r="113" spans="1:28" ht="15.75" customHeight="1" x14ac:dyDescent="0.3">
      <c r="A113" s="33"/>
      <c r="B113" s="33"/>
      <c r="C113" s="33"/>
      <c r="D113" s="45"/>
      <c r="E113" s="45"/>
      <c r="F113" s="45"/>
      <c r="G113" s="4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237"/>
      <c r="V113" s="33"/>
      <c r="W113" s="256"/>
      <c r="X113" s="33"/>
      <c r="Y113" s="194"/>
      <c r="Z113" s="33"/>
      <c r="AB113" s="52"/>
    </row>
    <row r="114" spans="1:28" ht="15.75" customHeight="1" thickBot="1" x14ac:dyDescent="0.35">
      <c r="A114" s="33"/>
      <c r="B114" s="33"/>
      <c r="C114" s="33"/>
      <c r="D114" s="47" t="s">
        <v>130</v>
      </c>
      <c r="E114" s="45"/>
      <c r="F114" s="45"/>
      <c r="G114" s="45"/>
      <c r="H114" s="33"/>
      <c r="I114" s="252">
        <f>I109-I112</f>
        <v>7267.4833159688587</v>
      </c>
      <c r="J114" s="252">
        <f t="shared" ref="J114:V114" si="51">J109-J112</f>
        <v>2568.8521583409611</v>
      </c>
      <c r="K114" s="252">
        <f t="shared" si="51"/>
        <v>1856.3353820940235</v>
      </c>
      <c r="L114" s="252">
        <f t="shared" si="51"/>
        <v>-4150.3361468699532</v>
      </c>
      <c r="M114" s="252">
        <f t="shared" si="51"/>
        <v>2821.7818615214069</v>
      </c>
      <c r="N114" s="252">
        <f t="shared" si="51"/>
        <v>-5432.1704160124555</v>
      </c>
      <c r="O114" s="252">
        <f t="shared" si="51"/>
        <v>-3012.7015140812691</v>
      </c>
      <c r="P114" s="252">
        <f t="shared" si="51"/>
        <v>-1847.1021122115467</v>
      </c>
      <c r="Q114" s="252">
        <f t="shared" si="51"/>
        <v>-1528.63932425335</v>
      </c>
      <c r="R114" s="252">
        <f t="shared" si="51"/>
        <v>1237.0829910665373</v>
      </c>
      <c r="S114" s="252">
        <f t="shared" si="51"/>
        <v>5057.8788379579</v>
      </c>
      <c r="T114" s="257">
        <f t="shared" si="51"/>
        <v>4886.2881208345943</v>
      </c>
      <c r="U114" s="252">
        <f t="shared" si="51"/>
        <v>9724.7531543556906</v>
      </c>
      <c r="V114" s="252">
        <f t="shared" si="51"/>
        <v>-70319.249813626026</v>
      </c>
      <c r="W114" s="255">
        <f t="shared" ref="W114" si="52">U114-V114</f>
        <v>80044.002967981709</v>
      </c>
      <c r="X114" s="127"/>
      <c r="Y114" s="242">
        <f>U114-V114</f>
        <v>80044.002967981709</v>
      </c>
      <c r="Z114" s="33"/>
      <c r="AB114" s="52"/>
    </row>
    <row r="115" spans="1:28" ht="15.75" customHeight="1" thickTop="1" x14ac:dyDescent="0.3">
      <c r="A115" s="33"/>
      <c r="B115" s="33"/>
      <c r="C115" s="33"/>
      <c r="D115" s="45"/>
      <c r="E115" s="45"/>
      <c r="F115" s="45"/>
      <c r="G115" s="4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237"/>
      <c r="V115" s="53">
        <f>V114-'[3]2024 Forecast'!O114</f>
        <v>0</v>
      </c>
      <c r="W115" s="238"/>
      <c r="X115" s="33"/>
      <c r="Y115" s="33"/>
      <c r="Z115" s="33"/>
      <c r="AB115" s="52"/>
    </row>
    <row r="116" spans="1:28" ht="15.75" customHeight="1" x14ac:dyDescent="0.3">
      <c r="A116" s="33"/>
      <c r="B116" s="33"/>
      <c r="C116" s="33"/>
      <c r="D116" s="45"/>
      <c r="E116" s="45"/>
      <c r="F116" s="45"/>
      <c r="G116" s="4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245"/>
      <c r="V116" s="33"/>
      <c r="W116" s="238"/>
      <c r="X116" s="33"/>
      <c r="Y116" s="33"/>
      <c r="Z116" s="33"/>
      <c r="AB116" s="52"/>
    </row>
    <row r="117" spans="1:28" ht="15.75" customHeight="1" x14ac:dyDescent="0.3">
      <c r="A117" s="33"/>
      <c r="B117" s="33"/>
      <c r="C117" s="33"/>
      <c r="D117" s="45"/>
      <c r="E117" s="45"/>
      <c r="F117" s="171"/>
      <c r="G117" s="33"/>
      <c r="H117" s="33"/>
      <c r="I117" s="262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237"/>
      <c r="V117" s="33"/>
      <c r="W117" s="238"/>
      <c r="X117" s="33"/>
      <c r="Y117" s="33"/>
      <c r="Z117" s="33"/>
      <c r="AB117" s="52"/>
    </row>
    <row r="118" spans="1:28" x14ac:dyDescent="0.3">
      <c r="A118" s="128" t="s">
        <v>45</v>
      </c>
      <c r="B118" s="99"/>
      <c r="C118" s="99"/>
      <c r="D118" s="99"/>
      <c r="E118" s="129"/>
      <c r="F118" s="99"/>
      <c r="G118" s="99"/>
      <c r="H118" s="90" t="s">
        <v>207</v>
      </c>
      <c r="I118" s="181" t="str">
        <f t="shared" ref="I118:W118" si="53">I7</f>
        <v>Jan</v>
      </c>
      <c r="J118" s="181" t="str">
        <f t="shared" si="53"/>
        <v>Feb</v>
      </c>
      <c r="K118" s="181" t="str">
        <f t="shared" si="53"/>
        <v>Mar</v>
      </c>
      <c r="L118" s="181" t="str">
        <f t="shared" si="53"/>
        <v>Apr</v>
      </c>
      <c r="M118" s="181" t="str">
        <f t="shared" si="53"/>
        <v>May</v>
      </c>
      <c r="N118" s="181" t="str">
        <f t="shared" si="53"/>
        <v>Jun</v>
      </c>
      <c r="O118" s="181" t="str">
        <f t="shared" si="53"/>
        <v>Jul</v>
      </c>
      <c r="P118" s="181" t="str">
        <f t="shared" si="53"/>
        <v>Aug</v>
      </c>
      <c r="Q118" s="181" t="str">
        <f t="shared" si="53"/>
        <v>Sep</v>
      </c>
      <c r="R118" s="181" t="str">
        <f t="shared" si="53"/>
        <v>Oct</v>
      </c>
      <c r="S118" s="181" t="str">
        <f t="shared" si="53"/>
        <v>Nov</v>
      </c>
      <c r="T118" s="181" t="str">
        <f t="shared" si="53"/>
        <v>Dec</v>
      </c>
      <c r="U118" s="226" t="str">
        <f t="shared" si="53"/>
        <v>TOTAL YR</v>
      </c>
      <c r="V118" s="181" t="str">
        <f t="shared" si="53"/>
        <v>TOTAL YR</v>
      </c>
      <c r="W118" s="234" t="str">
        <f t="shared" si="53"/>
        <v>2025 Budget</v>
      </c>
    </row>
    <row r="119" spans="1:28" x14ac:dyDescent="0.3">
      <c r="A119" s="99"/>
      <c r="B119" s="9" t="s">
        <v>46</v>
      </c>
      <c r="C119" s="99"/>
      <c r="D119" s="99"/>
      <c r="E119" s="99"/>
      <c r="F119" s="99"/>
      <c r="G119" s="99"/>
      <c r="H119" s="179">
        <f>'[3]2024 Forecast'!O118</f>
        <v>5413.2453126102209</v>
      </c>
      <c r="I119" s="89">
        <f>I114+H119</f>
        <v>12680.72862857908</v>
      </c>
      <c r="J119" s="89">
        <f t="shared" ref="J119:T119" si="54">J114+I119</f>
        <v>15249.58078692004</v>
      </c>
      <c r="K119" s="89">
        <f t="shared" si="54"/>
        <v>17105.916169014065</v>
      </c>
      <c r="L119" s="89">
        <f t="shared" si="54"/>
        <v>12955.580022144111</v>
      </c>
      <c r="M119" s="89">
        <f t="shared" si="54"/>
        <v>15777.361883665519</v>
      </c>
      <c r="N119" s="89">
        <f t="shared" si="54"/>
        <v>10345.191467653063</v>
      </c>
      <c r="O119" s="89">
        <f t="shared" si="54"/>
        <v>7332.4899535717941</v>
      </c>
      <c r="P119" s="89">
        <f t="shared" si="54"/>
        <v>5485.387841360247</v>
      </c>
      <c r="Q119" s="89">
        <f t="shared" si="54"/>
        <v>3956.748517106897</v>
      </c>
      <c r="R119" s="89">
        <f t="shared" si="54"/>
        <v>5193.8315081734345</v>
      </c>
      <c r="S119" s="89">
        <f t="shared" si="54"/>
        <v>10251.710346131335</v>
      </c>
      <c r="T119" s="89">
        <f t="shared" si="54"/>
        <v>15137.998466965928</v>
      </c>
      <c r="U119" s="338">
        <f>T119</f>
        <v>15137.998466965928</v>
      </c>
      <c r="V119" s="173">
        <f>'[3]2024 Forecast'!O118</f>
        <v>5413.2453126102209</v>
      </c>
      <c r="W119" s="81">
        <f>U119-V119</f>
        <v>9724.753154355707</v>
      </c>
    </row>
    <row r="120" spans="1:28" x14ac:dyDescent="0.3">
      <c r="A120" s="99"/>
      <c r="B120" s="130" t="s">
        <v>77</v>
      </c>
      <c r="C120" s="99"/>
      <c r="D120" s="131"/>
      <c r="E120" s="99"/>
      <c r="F120" s="99"/>
      <c r="G120" s="99"/>
      <c r="H120" s="179">
        <f>'[3]2024 Forecast'!O119</f>
        <v>7259.94</v>
      </c>
      <c r="I120" s="89">
        <f t="shared" ref="I120:T120" si="55">+H120</f>
        <v>7259.94</v>
      </c>
      <c r="J120" s="89">
        <f t="shared" si="55"/>
        <v>7259.94</v>
      </c>
      <c r="K120" s="89">
        <f t="shared" si="55"/>
        <v>7259.94</v>
      </c>
      <c r="L120" s="89">
        <f t="shared" si="55"/>
        <v>7259.94</v>
      </c>
      <c r="M120" s="89">
        <f t="shared" si="55"/>
        <v>7259.94</v>
      </c>
      <c r="N120" s="89">
        <f t="shared" si="55"/>
        <v>7259.94</v>
      </c>
      <c r="O120" s="89">
        <f t="shared" si="55"/>
        <v>7259.94</v>
      </c>
      <c r="P120" s="89">
        <f t="shared" si="55"/>
        <v>7259.94</v>
      </c>
      <c r="Q120" s="89">
        <f t="shared" si="55"/>
        <v>7259.94</v>
      </c>
      <c r="R120" s="89">
        <f t="shared" si="55"/>
        <v>7259.94</v>
      </c>
      <c r="S120" s="89">
        <f t="shared" si="55"/>
        <v>7259.94</v>
      </c>
      <c r="T120" s="89">
        <f t="shared" si="55"/>
        <v>7259.94</v>
      </c>
      <c r="U120" s="92">
        <f>T120</f>
        <v>7259.94</v>
      </c>
      <c r="V120" s="89">
        <f>'[3]2024 Forecast'!O119</f>
        <v>7259.94</v>
      </c>
      <c r="W120" s="81">
        <f>U120-V120</f>
        <v>0</v>
      </c>
    </row>
    <row r="121" spans="1:28" ht="7.5" customHeight="1" x14ac:dyDescent="0.3">
      <c r="A121" s="99"/>
      <c r="B121" s="99"/>
      <c r="C121" s="99"/>
      <c r="D121" s="99"/>
      <c r="E121" s="99"/>
      <c r="F121" s="99"/>
      <c r="G121" s="9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227"/>
      <c r="V121" s="59"/>
      <c r="W121" s="228"/>
    </row>
    <row r="122" spans="1:28" ht="14.4" thickBot="1" x14ac:dyDescent="0.35">
      <c r="A122" s="99"/>
      <c r="B122" s="99"/>
      <c r="C122" s="99"/>
      <c r="D122" s="132"/>
      <c r="E122" s="99"/>
      <c r="F122" s="99"/>
      <c r="G122" s="99"/>
      <c r="H122" s="12">
        <f t="shared" ref="H122" si="56">SUM(H118:H121)</f>
        <v>12673.185312610221</v>
      </c>
      <c r="I122" s="12">
        <f t="shared" ref="I122:W122" si="57">SUM(I118:I121)</f>
        <v>19940.668628579078</v>
      </c>
      <c r="J122" s="12">
        <f t="shared" si="57"/>
        <v>22509.520786920039</v>
      </c>
      <c r="K122" s="12">
        <f t="shared" si="57"/>
        <v>24365.856169014063</v>
      </c>
      <c r="L122" s="12">
        <f t="shared" si="57"/>
        <v>20215.520022144112</v>
      </c>
      <c r="M122" s="12">
        <f t="shared" si="57"/>
        <v>23037.301883665517</v>
      </c>
      <c r="N122" s="12">
        <f t="shared" si="57"/>
        <v>17605.131467653064</v>
      </c>
      <c r="O122" s="12">
        <f t="shared" si="57"/>
        <v>14592.429953571795</v>
      </c>
      <c r="P122" s="12">
        <f t="shared" si="57"/>
        <v>12745.327841360246</v>
      </c>
      <c r="Q122" s="12">
        <f t="shared" si="57"/>
        <v>11216.688517106897</v>
      </c>
      <c r="R122" s="12">
        <f t="shared" si="57"/>
        <v>12453.771508173435</v>
      </c>
      <c r="S122" s="12">
        <f t="shared" si="57"/>
        <v>17511.650346131333</v>
      </c>
      <c r="T122" s="12">
        <f t="shared" si="57"/>
        <v>22397.938466965927</v>
      </c>
      <c r="U122" s="94">
        <f t="shared" si="57"/>
        <v>22397.938466965927</v>
      </c>
      <c r="V122" s="12">
        <f t="shared" si="57"/>
        <v>12673.185312610221</v>
      </c>
      <c r="W122" s="229">
        <f t="shared" si="57"/>
        <v>9724.753154355707</v>
      </c>
    </row>
    <row r="123" spans="1:28" ht="14.4" thickTop="1" x14ac:dyDescent="0.3">
      <c r="E123" s="99"/>
      <c r="F123" s="99"/>
      <c r="G123" s="99"/>
      <c r="H123" s="1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152">
        <f>H122+U114</f>
        <v>22397.938466965912</v>
      </c>
      <c r="V123" s="236"/>
      <c r="W123" s="96"/>
    </row>
    <row r="124" spans="1:28" x14ac:dyDescent="0.3">
      <c r="H124" s="11"/>
      <c r="I124" s="135"/>
      <c r="U124" s="101">
        <f>U123-U122</f>
        <v>0</v>
      </c>
      <c r="V124" s="101"/>
      <c r="W124" s="5"/>
    </row>
    <row r="125" spans="1:28" x14ac:dyDescent="0.3">
      <c r="U125" s="135"/>
      <c r="V125" s="102"/>
      <c r="W125" s="60"/>
    </row>
    <row r="126" spans="1:28" x14ac:dyDescent="0.3">
      <c r="A126" s="133" t="s">
        <v>80</v>
      </c>
      <c r="I126" s="180" t="s">
        <v>106</v>
      </c>
      <c r="J126" s="166"/>
      <c r="K126" s="166"/>
      <c r="L126" s="166"/>
      <c r="M126" s="166"/>
      <c r="N126" s="166"/>
      <c r="O126" s="167"/>
      <c r="P126" s="168"/>
      <c r="Q126" s="166"/>
      <c r="R126" s="166"/>
      <c r="S126" s="166"/>
      <c r="T126" s="166"/>
      <c r="U126" s="169"/>
      <c r="V126" s="101"/>
      <c r="W126" s="53"/>
    </row>
    <row r="127" spans="1:28" x14ac:dyDescent="0.3">
      <c r="B127" s="25" t="s">
        <v>81</v>
      </c>
      <c r="I127" s="74">
        <f t="shared" ref="I127:T127" si="58">H132</f>
        <v>47724.189862581094</v>
      </c>
      <c r="J127" s="74">
        <f t="shared" si="58"/>
        <v>46775.550025068187</v>
      </c>
      <c r="K127" s="74">
        <f t="shared" si="58"/>
        <v>45782.611352174456</v>
      </c>
      <c r="L127" s="74">
        <f t="shared" si="58"/>
        <v>44818.262864350705</v>
      </c>
      <c r="M127" s="74">
        <f t="shared" si="58"/>
        <v>43834.415087327077</v>
      </c>
      <c r="N127" s="74">
        <f t="shared" si="58"/>
        <v>42854.304407195697</v>
      </c>
      <c r="O127" s="74">
        <f t="shared" si="58"/>
        <v>41855.07948291138</v>
      </c>
      <c r="P127" s="74">
        <f t="shared" si="58"/>
        <v>40858.954672683838</v>
      </c>
      <c r="Q127" s="74">
        <f t="shared" si="58"/>
        <v>39854.770555955962</v>
      </c>
      <c r="R127" s="74">
        <f t="shared" si="58"/>
        <v>38832.060270473747</v>
      </c>
      <c r="S127" s="74">
        <f t="shared" si="58"/>
        <v>37811.4772416181</v>
      </c>
      <c r="T127" s="74">
        <f t="shared" si="58"/>
        <v>36772.768643097799</v>
      </c>
      <c r="U127" s="165">
        <f>H132</f>
        <v>47724.189862581094</v>
      </c>
    </row>
    <row r="128" spans="1:28" x14ac:dyDescent="0.3">
      <c r="C128" s="110" t="s">
        <v>84</v>
      </c>
      <c r="I128" s="50">
        <f t="shared" ref="I128:T128" si="59">I130-I129</f>
        <v>948.63983751290846</v>
      </c>
      <c r="J128" s="50">
        <f t="shared" si="59"/>
        <v>992.93867289373247</v>
      </c>
      <c r="K128" s="50">
        <f t="shared" si="59"/>
        <v>964.34848782375343</v>
      </c>
      <c r="L128" s="50">
        <f t="shared" si="59"/>
        <v>983.84777702362771</v>
      </c>
      <c r="M128" s="50">
        <f t="shared" si="59"/>
        <v>980.11068013137844</v>
      </c>
      <c r="N128" s="50">
        <f t="shared" si="59"/>
        <v>999.2249242843194</v>
      </c>
      <c r="O128" s="50">
        <f t="shared" si="59"/>
        <v>996.12481022754389</v>
      </c>
      <c r="P128" s="50">
        <f t="shared" si="59"/>
        <v>1004.1841167278739</v>
      </c>
      <c r="Q128" s="50">
        <f t="shared" si="59"/>
        <v>1022.710285482213</v>
      </c>
      <c r="R128" s="50">
        <f t="shared" si="59"/>
        <v>1020.5830288556451</v>
      </c>
      <c r="S128" s="50">
        <f t="shared" si="59"/>
        <v>1038.7085985202978</v>
      </c>
      <c r="T128" s="50">
        <f t="shared" si="59"/>
        <v>1037.2440558958158</v>
      </c>
      <c r="U128" s="149">
        <f>SUM(I128:T128)</f>
        <v>11988.665275379106</v>
      </c>
    </row>
    <row r="129" spans="3:27" x14ac:dyDescent="0.3">
      <c r="C129" s="110" t="s">
        <v>83</v>
      </c>
      <c r="F129" s="134"/>
      <c r="G129" s="98">
        <f>'[3]2024 Forecast'!G128</f>
        <v>9.5000000000000001E-2</v>
      </c>
      <c r="H129" s="109"/>
      <c r="I129" s="111">
        <f>($G129*I134/364)*I127</f>
        <v>386.12016248709153</v>
      </c>
      <c r="J129" s="111">
        <f t="shared" ref="J129:T129" si="60">($G129*J134/364)*J127</f>
        <v>341.82132710626757</v>
      </c>
      <c r="K129" s="111">
        <f t="shared" si="60"/>
        <v>370.41151217624662</v>
      </c>
      <c r="L129" s="111">
        <f t="shared" si="60"/>
        <v>350.91222297637228</v>
      </c>
      <c r="M129" s="111">
        <f t="shared" si="60"/>
        <v>354.64931986862155</v>
      </c>
      <c r="N129" s="111">
        <f t="shared" si="60"/>
        <v>335.53507571568059</v>
      </c>
      <c r="O129" s="111">
        <f t="shared" si="60"/>
        <v>338.6351897724561</v>
      </c>
      <c r="P129" s="111">
        <f t="shared" si="60"/>
        <v>330.57588327212613</v>
      </c>
      <c r="Q129" s="111">
        <f t="shared" si="60"/>
        <v>312.04971451778704</v>
      </c>
      <c r="R129" s="111">
        <f t="shared" si="60"/>
        <v>314.17697114435492</v>
      </c>
      <c r="S129" s="111">
        <f t="shared" si="60"/>
        <v>296.05140147970218</v>
      </c>
      <c r="T129" s="111">
        <f t="shared" si="60"/>
        <v>297.51594410418414</v>
      </c>
      <c r="U129" s="151">
        <f>SUM(I129:T129)</f>
        <v>4028.4547246208908</v>
      </c>
    </row>
    <row r="130" spans="3:27" x14ac:dyDescent="0.3">
      <c r="D130" s="25" t="s">
        <v>85</v>
      </c>
      <c r="I130" s="50">
        <f>'[3]2024 Forecast'!K129</f>
        <v>1334.76</v>
      </c>
      <c r="J130" s="50">
        <f>I130</f>
        <v>1334.76</v>
      </c>
      <c r="K130" s="50">
        <f t="shared" ref="K130:S130" si="61">J130</f>
        <v>1334.76</v>
      </c>
      <c r="L130" s="50">
        <f t="shared" si="61"/>
        <v>1334.76</v>
      </c>
      <c r="M130" s="50">
        <f t="shared" si="61"/>
        <v>1334.76</v>
      </c>
      <c r="N130" s="50">
        <f>M130</f>
        <v>1334.76</v>
      </c>
      <c r="O130" s="50">
        <f t="shared" si="61"/>
        <v>1334.76</v>
      </c>
      <c r="P130" s="50">
        <f t="shared" si="61"/>
        <v>1334.76</v>
      </c>
      <c r="Q130" s="50">
        <f t="shared" si="61"/>
        <v>1334.76</v>
      </c>
      <c r="R130" s="50">
        <f t="shared" si="61"/>
        <v>1334.76</v>
      </c>
      <c r="S130" s="50">
        <f t="shared" si="61"/>
        <v>1334.76</v>
      </c>
      <c r="T130" s="355">
        <f>S130+T144</f>
        <v>1334.76</v>
      </c>
      <c r="U130" s="149">
        <f>SUM(I130:T130)</f>
        <v>16017.12</v>
      </c>
      <c r="V130" s="60"/>
      <c r="AA130" s="55"/>
    </row>
    <row r="131" spans="3:27" x14ac:dyDescent="0.3">
      <c r="C131" s="25" t="s">
        <v>82</v>
      </c>
      <c r="G131" s="336"/>
      <c r="H131" s="105"/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50">
        <f>-S144</f>
        <v>0</v>
      </c>
      <c r="T131" s="42">
        <v>0</v>
      </c>
      <c r="U131" s="149">
        <f>SUM(I131:T131)</f>
        <v>0</v>
      </c>
    </row>
    <row r="132" spans="3:27" x14ac:dyDescent="0.3">
      <c r="D132" s="110" t="s">
        <v>86</v>
      </c>
      <c r="H132" s="112">
        <f>'[3]2024 Forecast'!M131*1</f>
        <v>47724.189862581094</v>
      </c>
      <c r="I132" s="49">
        <f>I127+I131-I128</f>
        <v>46775.550025068187</v>
      </c>
      <c r="J132" s="49">
        <f t="shared" ref="J132:U132" si="62">J127+J131-J128</f>
        <v>45782.611352174456</v>
      </c>
      <c r="K132" s="49">
        <f t="shared" si="62"/>
        <v>44818.262864350705</v>
      </c>
      <c r="L132" s="49">
        <f t="shared" si="62"/>
        <v>43834.415087327077</v>
      </c>
      <c r="M132" s="49">
        <f t="shared" si="62"/>
        <v>42854.304407195697</v>
      </c>
      <c r="N132" s="49">
        <f t="shared" si="62"/>
        <v>41855.07948291138</v>
      </c>
      <c r="O132" s="49">
        <f t="shared" si="62"/>
        <v>40858.954672683838</v>
      </c>
      <c r="P132" s="49">
        <f t="shared" si="62"/>
        <v>39854.770555955962</v>
      </c>
      <c r="Q132" s="49">
        <f t="shared" si="62"/>
        <v>38832.060270473747</v>
      </c>
      <c r="R132" s="49">
        <f t="shared" si="62"/>
        <v>37811.4772416181</v>
      </c>
      <c r="S132" s="49">
        <f t="shared" si="62"/>
        <v>36772.768643097799</v>
      </c>
      <c r="T132" s="49">
        <f t="shared" si="62"/>
        <v>35735.52458720198</v>
      </c>
      <c r="U132" s="150">
        <f t="shared" si="62"/>
        <v>35735.524587201988</v>
      </c>
    </row>
    <row r="133" spans="3:27" x14ac:dyDescent="0.3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337"/>
    </row>
    <row r="134" spans="3:27" x14ac:dyDescent="0.3">
      <c r="H134" s="109"/>
      <c r="I134" s="160">
        <v>31</v>
      </c>
      <c r="J134" s="160">
        <v>28</v>
      </c>
      <c r="K134" s="160">
        <v>31</v>
      </c>
      <c r="L134" s="160">
        <v>30</v>
      </c>
      <c r="M134" s="160">
        <v>31</v>
      </c>
      <c r="N134" s="160">
        <v>30</v>
      </c>
      <c r="O134" s="160">
        <v>31</v>
      </c>
      <c r="P134" s="160">
        <v>31</v>
      </c>
      <c r="Q134" s="160">
        <v>30</v>
      </c>
      <c r="R134" s="160">
        <v>31</v>
      </c>
      <c r="S134" s="160">
        <v>30</v>
      </c>
      <c r="T134" s="160">
        <v>31</v>
      </c>
      <c r="U134" s="158"/>
      <c r="V134" s="159"/>
    </row>
    <row r="135" spans="3:27" x14ac:dyDescent="0.3">
      <c r="I135" s="42"/>
      <c r="J135" s="42"/>
      <c r="K135" s="42"/>
      <c r="L135" s="42"/>
      <c r="M135" s="42"/>
      <c r="N135" s="42"/>
      <c r="O135" s="55"/>
      <c r="P135" s="55"/>
    </row>
    <row r="136" spans="3:27" x14ac:dyDescent="0.3">
      <c r="F136" s="156" t="str">
        <f>E106</f>
        <v>2025 - Project Spending Summary</v>
      </c>
      <c r="G136" s="157"/>
      <c r="I136" s="25"/>
    </row>
    <row r="137" spans="3:27" x14ac:dyDescent="0.3">
      <c r="G137" s="366" t="str">
        <f>'[3]2024 Forecast'!G138</f>
        <v>Repair ceiling in bathrooms and library</v>
      </c>
      <c r="H137" s="146">
        <f>SUM(I137:T137)</f>
        <v>1350</v>
      </c>
      <c r="I137" s="42">
        <v>0</v>
      </c>
      <c r="J137" s="42">
        <v>0</v>
      </c>
      <c r="K137" s="42">
        <f>12000*0</f>
        <v>0</v>
      </c>
      <c r="L137" s="42">
        <v>1350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136"/>
    </row>
    <row r="138" spans="3:27" x14ac:dyDescent="0.3">
      <c r="F138" s="144"/>
      <c r="G138" s="170" t="str">
        <f>'[3]2024 Forecast'!G139</f>
        <v>Re-surface/stripe tennis court</v>
      </c>
      <c r="H138" s="146">
        <f t="shared" ref="H138:H144" si="63">SUM(I138:T138)</f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136"/>
    </row>
    <row r="139" spans="3:27" x14ac:dyDescent="0.3">
      <c r="G139" s="170" t="str">
        <f>'[3]2024 Forecast'!G140</f>
        <v>Install 2 handicap ramps</v>
      </c>
      <c r="H139" s="146">
        <f t="shared" si="63"/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136"/>
    </row>
    <row r="140" spans="3:27" x14ac:dyDescent="0.3">
      <c r="G140" s="366" t="str">
        <f>'[3]2024 Forecast'!G141</f>
        <v>Add sprinkler station to east-end of park</v>
      </c>
      <c r="H140" s="146">
        <f t="shared" si="63"/>
        <v>3800</v>
      </c>
      <c r="I140" s="42">
        <v>0</v>
      </c>
      <c r="J140" s="42">
        <v>0</v>
      </c>
      <c r="K140" s="42">
        <v>3800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136"/>
    </row>
    <row r="141" spans="3:27" x14ac:dyDescent="0.3">
      <c r="G141" s="170" t="str">
        <f>'[3]2024 Forecast'!G142</f>
        <v>Swipe-card/fob pool keys</v>
      </c>
      <c r="H141" s="146">
        <f t="shared" si="63"/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136"/>
    </row>
    <row r="142" spans="3:27" x14ac:dyDescent="0.3">
      <c r="G142" s="366" t="str">
        <f>'[3]2024 Forecast'!G143</f>
        <v>Reconfigure pavilion bathroom access</v>
      </c>
      <c r="H142" s="146">
        <f t="shared" si="63"/>
        <v>2300</v>
      </c>
      <c r="I142" s="42">
        <v>0</v>
      </c>
      <c r="J142" s="42">
        <v>2300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136"/>
    </row>
    <row r="143" spans="3:27" x14ac:dyDescent="0.3">
      <c r="G143" s="366" t="str">
        <f>'[3]2024 Forecast'!G144</f>
        <v>Security Cameras</v>
      </c>
      <c r="H143" s="146">
        <f t="shared" si="63"/>
        <v>1200</v>
      </c>
      <c r="I143" s="42">
        <v>0</v>
      </c>
      <c r="J143" s="42">
        <v>1200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f>3500*0</f>
        <v>0</v>
      </c>
      <c r="R143" s="42">
        <v>0</v>
      </c>
      <c r="S143" s="42">
        <v>0</v>
      </c>
      <c r="T143" s="42">
        <v>0</v>
      </c>
      <c r="U143" s="136"/>
    </row>
    <row r="144" spans="3:27" x14ac:dyDescent="0.3">
      <c r="G144" s="170" t="str">
        <f>'[3]2024 Forecast'!G145</f>
        <v>Pay down loan balance</v>
      </c>
      <c r="H144" s="146">
        <f t="shared" si="63"/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142">
        <f>5000*0</f>
        <v>0</v>
      </c>
      <c r="U144" s="26" t="s">
        <v>203</v>
      </c>
    </row>
    <row r="145" spans="8:20" ht="7.5" customHeight="1" x14ac:dyDescent="0.3"/>
    <row r="146" spans="8:20" x14ac:dyDescent="0.3">
      <c r="H146" s="49">
        <f t="shared" ref="H146:T146" si="64">SUM(H137:H145)</f>
        <v>8650</v>
      </c>
      <c r="I146" s="49">
        <f t="shared" si="64"/>
        <v>0</v>
      </c>
      <c r="J146" s="49">
        <f t="shared" si="64"/>
        <v>3500</v>
      </c>
      <c r="K146" s="49">
        <f t="shared" si="64"/>
        <v>3800</v>
      </c>
      <c r="L146" s="49">
        <f t="shared" si="64"/>
        <v>1350</v>
      </c>
      <c r="M146" s="49">
        <f t="shared" si="64"/>
        <v>0</v>
      </c>
      <c r="N146" s="49">
        <f t="shared" si="64"/>
        <v>0</v>
      </c>
      <c r="O146" s="49">
        <f t="shared" si="64"/>
        <v>0</v>
      </c>
      <c r="P146" s="49">
        <f t="shared" si="64"/>
        <v>0</v>
      </c>
      <c r="Q146" s="49">
        <f t="shared" si="64"/>
        <v>0</v>
      </c>
      <c r="R146" s="49">
        <f t="shared" si="64"/>
        <v>0</v>
      </c>
      <c r="S146" s="49">
        <f t="shared" si="64"/>
        <v>0</v>
      </c>
      <c r="T146" s="49">
        <f t="shared" si="64"/>
        <v>0</v>
      </c>
    </row>
    <row r="148" spans="8:20" ht="14.4" thickBot="1" x14ac:dyDescent="0.35"/>
    <row r="149" spans="8:20" ht="18" x14ac:dyDescent="0.35">
      <c r="I149" s="357" t="s">
        <v>209</v>
      </c>
      <c r="J149" s="340"/>
      <c r="K149" s="340"/>
      <c r="L149" s="340"/>
      <c r="M149" s="340"/>
      <c r="N149" s="340"/>
      <c r="O149" s="340"/>
      <c r="P149" s="341"/>
    </row>
    <row r="150" spans="8:20" ht="18" x14ac:dyDescent="0.35">
      <c r="I150" s="342" t="s">
        <v>219</v>
      </c>
      <c r="P150" s="343"/>
    </row>
    <row r="151" spans="8:20" ht="18" x14ac:dyDescent="0.35">
      <c r="I151" s="342" t="str">
        <f>"- "&amp;TEXT(SUM(H146)/1000,"$0.0")&amp;" budgeted in 2025 for project spending."</f>
        <v>- $8.7 budgeted in 2025 for project spending.</v>
      </c>
      <c r="P151" s="343"/>
    </row>
    <row r="152" spans="8:20" ht="18" x14ac:dyDescent="0.35">
      <c r="I152" s="342" t="str">
        <f>"- Additional loan principal payment of "&amp;TEXT(SUM(T146)/1000,"$0.0")&amp;" made in December 2025."</f>
        <v>- Additional loan principal payment of $0.0 made in December 2025.</v>
      </c>
      <c r="P152" s="343"/>
    </row>
    <row r="153" spans="8:20" ht="18" x14ac:dyDescent="0.35">
      <c r="I153" s="342" t="str">
        <f>"- The loan balance is "&amp;TEXT(U132/1000,"$0.0")&amp;" at Dec 2025"</f>
        <v>- The loan balance is $35.7 at Dec 2025</v>
      </c>
      <c r="P153" s="343"/>
    </row>
    <row r="154" spans="8:20" ht="18.600000000000001" thickBot="1" x14ac:dyDescent="0.4">
      <c r="I154" s="344" t="str">
        <f>"- Total cash balance is "&amp;TEXT(U122/1000,"$0.0")&amp;" at Dec 2025"</f>
        <v>- Total cash balance is $22.4 at Dec 2025</v>
      </c>
      <c r="J154" s="345"/>
      <c r="K154" s="345"/>
      <c r="L154" s="345"/>
      <c r="M154" s="345"/>
      <c r="N154" s="345"/>
      <c r="O154" s="345"/>
      <c r="P154" s="346"/>
    </row>
    <row r="161" spans="9:10" x14ac:dyDescent="0.3">
      <c r="I161" s="25"/>
    </row>
    <row r="162" spans="9:10" x14ac:dyDescent="0.3">
      <c r="I162" s="25"/>
    </row>
    <row r="164" spans="9:10" x14ac:dyDescent="0.3">
      <c r="J164" s="365"/>
    </row>
  </sheetData>
  <pageMargins left="0.25" right="0.25" top="0.5" bottom="0.5" header="0.3" footer="0.3"/>
  <pageSetup scale="60" fitToHeight="2" orientation="landscape" r:id="rId1"/>
  <headerFooter>
    <oddFooter>&amp;L&amp;D</oddFooter>
  </headerFooter>
  <rowBreaks count="2" manualBreakCount="2">
    <brk id="60" max="23" man="1"/>
    <brk id="116" max="2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C1A9-CBC9-40D2-85ED-A2E745F3A6B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T4" sqref="T4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EE61F1D32294DA3E714D25D3DD2BC" ma:contentTypeVersion="14" ma:contentTypeDescription="Create a new document." ma:contentTypeScope="" ma:versionID="92d56ba8092c59c15da8c2a116efd331">
  <xsd:schema xmlns:xsd="http://www.w3.org/2001/XMLSchema" xmlns:xs="http://www.w3.org/2001/XMLSchema" xmlns:p="http://schemas.microsoft.com/office/2006/metadata/properties" xmlns:ns3="97cb1cbb-3acc-4c81-a65d-cd600d5d50e9" targetNamespace="http://schemas.microsoft.com/office/2006/metadata/properties" ma:root="true" ma:fieldsID="0bdb3cd2f2490e332d7492c92d1c85e6" ns3:_="">
    <xsd:import namespace="97cb1cbb-3acc-4c81-a65d-cd600d5d5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b1cbb-3acc-4c81-a65d-cd600d5d5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75B147-ADB7-4957-9876-5979A66418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7cb1cbb-3acc-4c81-a65d-cd600d5d50e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F14032-1756-42F0-8EC3-E4F14A43A0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A345A-3418-4171-A6D2-1D042C6CD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b1cbb-3acc-4c81-a65d-cd600d5d5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2025 Forecast</vt:lpstr>
      <vt:lpstr>2026 Budget</vt:lpstr>
      <vt:lpstr>2023 Forecast</vt:lpstr>
      <vt:lpstr>2023 Budget</vt:lpstr>
      <vt:lpstr>2022 Budget</vt:lpstr>
      <vt:lpstr>2024 Budget</vt:lpstr>
      <vt:lpstr>2025 Budget</vt:lpstr>
      <vt:lpstr>2025 YTD and 2024 Actuals</vt:lpstr>
      <vt:lpstr>Jan - Sep 2024 Actuals</vt:lpstr>
      <vt:lpstr>Pool Attendents</vt:lpstr>
      <vt:lpstr>Security Patrol</vt:lpstr>
      <vt:lpstr>Bank Loan</vt:lpstr>
      <vt:lpstr>'2022 Budget'!Print_Area</vt:lpstr>
      <vt:lpstr>'2023 Budget'!Print_Area</vt:lpstr>
      <vt:lpstr>'2023 Forecast'!Print_Area</vt:lpstr>
      <vt:lpstr>'2024 Budget'!Print_Area</vt:lpstr>
      <vt:lpstr>'2025 Budget'!Print_Area</vt:lpstr>
      <vt:lpstr>'2025 Forecast'!Print_Area</vt:lpstr>
      <vt:lpstr>'2026 Budget'!Print_Area</vt:lpstr>
      <vt:lpstr>'Pool Attendents'!Print_Area</vt:lpstr>
      <vt:lpstr>'Security Patrol'!Print_Area</vt:lpstr>
      <vt:lpstr>'2022 Budget'!Print_Titles</vt:lpstr>
      <vt:lpstr>'2023 Budget'!Print_Titles</vt:lpstr>
      <vt:lpstr>'2023 Forecast'!Print_Titles</vt:lpstr>
      <vt:lpstr>'2024 Budget'!Print_Titles</vt:lpstr>
      <vt:lpstr>'2025 Budget'!Print_Titles</vt:lpstr>
      <vt:lpstr>'2025 Forecast'!Print_Titles</vt:lpstr>
      <vt:lpstr>'2026 Budget'!Print_Titles</vt:lpstr>
      <vt:lpstr>'Pool Attendents'!Z_2B1E431D_FA27_4022_97FD_4A4D3C1998A5_.wvu.PrintArea</vt:lpstr>
      <vt:lpstr>'Pool Attendents'!Z_395EDE44_0A7F_42B1_A584_AD2DA9015144_.wvu.Cols</vt:lpstr>
      <vt:lpstr>'Pool Attendents'!Z_395EDE44_0A7F_42B1_A584_AD2DA9015144_.wvu.PrintArea</vt:lpstr>
      <vt:lpstr>'Pool Attendents'!Z_6C2DD7B3_3250_4669_B030_71A61120EA31_.wvu.PrintArea</vt:lpstr>
      <vt:lpstr>'Pool Attendents'!Z_B0450467_242A_43D8_9599_7425133E650A_.wvu.Cols</vt:lpstr>
      <vt:lpstr>'Pool Attendents'!Z_B0450467_242A_43D8_9599_7425133E650A_.wvu.PrintArea</vt:lpstr>
      <vt:lpstr>'Pool Attendents'!Z_DE3CCF18_A635_4B17_BC08_1FFC3A13C601_.wvu.PrintArea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Clasen</dc:creator>
  <cp:lastModifiedBy>gerry laxson</cp:lastModifiedBy>
  <cp:lastPrinted>2025-11-14T23:36:12Z</cp:lastPrinted>
  <dcterms:created xsi:type="dcterms:W3CDTF">2013-09-30T15:25:55Z</dcterms:created>
  <dcterms:modified xsi:type="dcterms:W3CDTF">2025-12-01T21:18:16Z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0x010100FE3EE61F1D32294DA3E714D25D3DD2BC</vt:lpwstr>
  </property>
  <property fmtid="{D5CDD505-2E9C-101B-9397-08002B2CF9AE}" pid="3" name="SS Version">
    <vt:lpwstr>14.5</vt:lpwstr>
  </property>
</Properties>
</file>